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<sst xmlns="http://schemas.openxmlformats.org/spreadsheetml/2006/main" count="398" uniqueCount="343">
  <si>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</si>
  <si>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</si>
  <si>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</si>
  <si>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</si>
  <si>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</si>
  <si>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</si>
  <si>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</si>
  <si>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</si>
  <si>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</si>
  <si>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</si>
  <si>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</si>
  <si>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</si>
  <si>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</si>
  <si>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</si>
  <si>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</si>
  <si>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</si>
  <si>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</si>
  <si>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</si>
  <si>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</si>
  <si>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</si>
  <si>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</si>
  <si>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</si>
  <si>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</si>
  <si>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</si>
  <si>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</si>
  <si>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</si>
  <si>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</si>
  <si>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</si>
  <si>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</si>
  <si>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</si>
  <si>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</si>
  <si>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</si>
  <si>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</si>
  <si>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</si>
  <si>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</si>
  <si>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</si>
  <si>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</si>
  <si>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</si>
  <si>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</si>
  <si>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</si>
  <si>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</si>
  <si>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</si>
  <si>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</si>
  <si>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</si>
  <si>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</si>
  <si>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</si>
  <si>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</si>
  <si>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</si>
  <si>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</si>
  <si>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</si>
  <si>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</si>
  <si>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</si>
  <si>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</si>
  <si>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</si>
  <si>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</si>
  <si>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</si>
  <si>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</si>
  <si>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</si>
  <si>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</si>
  <si>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</si>
  <si>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</si>
  <si>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</si>
  <si>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</si>
  <si>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</si>
  <si>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</si>
  <si>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</si>
  <si>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</si>
  <si>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</si>
  <si>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</si>
  <si>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</si>
  <si>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</si>
  <si>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</si>
  <si>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</si>
  <si>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</si>
  <si>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</si>
  <si>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</si>
  <si>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</si>
  <si>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</si>
  <si>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</si>
  <si>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</si>
  <si>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</si>
  <si>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</si>
  <si>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</si>
  <si>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</si>
  <si>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</si>
  <si>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</si>
  <si>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</si>
  <si>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</si>
  <si>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</si>
  <si>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</si>
  <si>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</si>
  <si>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</si>
  <si>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</si>
  <si>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</si>
  <si>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</si>
  <si>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</si>
  <si>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</si>
  <si>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</si>
  <si>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</si>
  <si>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</si>
  <si>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</si>
  <si>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</si>
  <si>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</si>
  <si>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</si>
  <si>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</si>
  <si>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</si>
  <si>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</si>
  <si>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</si>
  <si>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</si>
  <si>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</si>
  <si>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</si>
  <si>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</si>
  <si>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</si>
  <si>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</si>
  <si>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</si>
  <si>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</si>
  <si>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</si>
  <si>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</si>
  <si>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</si>
  <si>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</si>
  <si>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</si>
  <si>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</si>
  <si>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</si>
  <si>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</si>
  <si>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</si>
  <si>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</si>
  <si>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</si>
  <si>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</si>
  <si>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</si>
  <si>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</si>
  <si>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</si>
  <si>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</si>
  <si>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</si>
  <si>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</si>
  <si>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</si>
  <si>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</si>
  <si>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</si>
  <si>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</si>
  <si>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</si>
  <si>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</si>
  <si>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</si>
  <si>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</si>
  <si>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</si>
  <si>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</si>
  <si>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</si>
  <si>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</si>
  <si>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</si>
  <si>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</si>
  <si>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</si>
  <si>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</si>
  <si>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</si>
  <si>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</si>
  <si>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</si>
  <si>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</si>
  <si>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</si>
  <si>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</si>
  <si>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</si>
  <si>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</si>
  <si>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</si>
  <si>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</si>
  <si>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</si>
  <si>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</si>
  <si>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</si>
  <si>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</si>
  <si>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</si>
  <si>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</si>
  <si>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</si>
  <si>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</si>
  <si>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</si>
  <si>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</si>
  <si>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</si>
  <si>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</si>
  <si>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</si>
  <si>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</si>
  <si>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</si>
  <si>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</si>
  <si>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</si>
  <si>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</si>
  <si>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</si>
  <si>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</si>
  <si>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</si>
  <si>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</si>
  <si>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</si>
  <si>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</si>
  <si>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</si>
  <si>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</si>
  <si>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</si>
  <si>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</si>
  <si>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</si>
  <si>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</si>
  <si>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</si>
  <si>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</si>
  <si>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</si>
  <si>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</si>
  <si>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</si>
  <si>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</si>
  <si>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</si>
  <si>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</si>
  <si>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</si>
  <si>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</si>
  <si>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</si>
  <si>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</si>
  <si>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</si>
  <si>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</si>
  <si>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</si>
  <si>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</si>
  <si>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</si>
  <si>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</si>
  <si>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</si>
  <si>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</si>
  <si>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</si>
  <si>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</si>
  <si>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</si>
  <si>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</si>
  <si>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</si>
  <si>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</si>
  <si>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</si>
  <si>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</si>
  <si>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</si>
  <si>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</si>
  <si>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</si>
  <si>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</si>
  <si>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</si>
  <si>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</si>
  <si>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</si>
  <si>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</si>
  <si>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</si>
  <si>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</si>
  <si>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</si>
  <si>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</si>
  <si>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</si>
  <si>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</si>
  <si>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</si>
  <si>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</si>
  <si>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</si>
  <si>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</si>
  <si>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</si>
  <si>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</si>
  <si>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</si>
  <si>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</si>
  <si>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</si>
  <si>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</si>
  <si>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</si>
  <si>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</si>
  <si>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</si>
  <si>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</si>
  <si>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</si>
  <si>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</si>
  <si>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</si>
  <si>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</si>
  <si>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</si>
  <si>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</si>
  <si>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</si>
  <si>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</si>
  <si>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</si>
  <si>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</si>
  <si>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</si>
  <si>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</si>
  <si>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</si>
  <si>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</si>
  <si>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</si>
  <si>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</si>
  <si>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</si>
  <si>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</si>
  <si>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</si>
  <si>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</si>
  <si>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</si>
  <si>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</si>
  <si>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</si>
  <si>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</si>
  <si>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</si>
  <si>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</si>
  <si>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</si>
  <si>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</si>
  <si>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</si>
  <si>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</si>
  <si>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</si>
  <si>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</si>
  <si>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</si>
  <si>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</si>
  <si>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</si>
  <si>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</si>
  <si>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</si>
  <si>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</si>
  <si>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</si>
  <si>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</si>
  <si>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</si>
  <si>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</si>
  <si>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</si>
  <si>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</si>
  <si>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</si>
  <si>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</si>
  <si>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</si>
  <si>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</si>
  <si>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</si>
  <si>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</si>
  <si>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</si>
  <si>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</si>
  <si>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</si>
  <si>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</si>
  <si>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</si>
  <si>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</si>
  <si>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</si>
  <si>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</si>
  <si>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</si>
  <si>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</si>
  <si>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</si>
  <si>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</si>
  <si>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</si>
  <si>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</si>
  <si>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</si>
  <si>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</si>
  <si>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</si>
  <si>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</si>
  <si>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</si>
  <si>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</si>
  <si>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</si>
  <si>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</si>
  <si>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</si>
  <si>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</si>
  <si>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</si>
  <si>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</si>
  <si>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</si>
  <si>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</si>
  <si>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</si>
  <si>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</si>
  <si>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</si>
  <si>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</si>
  <si>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</si>
  <si>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</si>
  <si>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</si>
  <si>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</si>
  <si>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</si>
  <si>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</si>
  <si>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</si>
  <si>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</si>
  <si>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</si>
  <si>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</si>
  <si>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</si>
  <si>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1.1.2016.</t>
  </si>
  <si>
    <t>30.06.2016.</t>
  </si>
  <si>
    <t>stanje na dan 30.06.2016.</t>
  </si>
  <si>
    <t>u razdoblju 1.1.2016. do 30.06.2016.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</si>
</sst>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0" t="s">
        <v>234</v>
      </c>
      <c r="B1" s="151"/>
      <c r="C1" s="15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8" t="s">
        <v>235</v>
      </c>
      <c r="B2" s="189"/>
      <c r="C2" s="189"/>
      <c r="D2" s="190"/>
      <c r="E2" s="119" t="s">
        <v>339</v>
      </c>
      <c r="F2" s="12"/>
      <c r="G2" s="13" t="s">
        <v>236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1" t="s">
        <v>302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1" t="s">
        <v>237</v>
      </c>
      <c r="B6" s="142"/>
      <c r="C6" s="156" t="s">
        <v>309</v>
      </c>
      <c r="D6" s="157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4" t="s">
        <v>238</v>
      </c>
      <c r="B8" s="195"/>
      <c r="C8" s="156" t="s">
        <v>310</v>
      </c>
      <c r="D8" s="157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6" t="s">
        <v>239</v>
      </c>
      <c r="B10" s="186"/>
      <c r="C10" s="156" t="s">
        <v>311</v>
      </c>
      <c r="D10" s="15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1" t="s">
        <v>240</v>
      </c>
      <c r="B12" s="142"/>
      <c r="C12" s="158" t="s">
        <v>322</v>
      </c>
      <c r="D12" s="183"/>
      <c r="E12" s="183"/>
      <c r="F12" s="183"/>
      <c r="G12" s="183"/>
      <c r="H12" s="183"/>
      <c r="I12" s="14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1" t="s">
        <v>241</v>
      </c>
      <c r="B14" s="142"/>
      <c r="C14" s="184">
        <v>52440</v>
      </c>
      <c r="D14" s="185"/>
      <c r="E14" s="16"/>
      <c r="F14" s="158" t="s">
        <v>312</v>
      </c>
      <c r="G14" s="183"/>
      <c r="H14" s="183"/>
      <c r="I14" s="14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1" t="s">
        <v>242</v>
      </c>
      <c r="B16" s="142"/>
      <c r="C16" s="158" t="s">
        <v>313</v>
      </c>
      <c r="D16" s="183"/>
      <c r="E16" s="183"/>
      <c r="F16" s="183"/>
      <c r="G16" s="183"/>
      <c r="H16" s="183"/>
      <c r="I16" s="14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1" t="s">
        <v>243</v>
      </c>
      <c r="B18" s="142"/>
      <c r="C18" s="179" t="s">
        <v>314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1" t="s">
        <v>244</v>
      </c>
      <c r="B20" s="142"/>
      <c r="C20" s="179" t="s">
        <v>325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1" t="s">
        <v>245</v>
      </c>
      <c r="B22" s="142"/>
      <c r="C22" s="120">
        <v>348</v>
      </c>
      <c r="D22" s="158" t="s">
        <v>312</v>
      </c>
      <c r="E22" s="169"/>
      <c r="F22" s="170"/>
      <c r="G22" s="141"/>
      <c r="H22" s="18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1" t="s">
        <v>246</v>
      </c>
      <c r="B24" s="142"/>
      <c r="C24" s="120">
        <v>18</v>
      </c>
      <c r="D24" s="158" t="s">
        <v>315</v>
      </c>
      <c r="E24" s="169"/>
      <c r="F24" s="169"/>
      <c r="G24" s="170"/>
      <c r="H24" s="51" t="s">
        <v>247</v>
      </c>
      <c r="I24" s="133">
        <v>3806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303</v>
      </c>
      <c r="I25" s="97"/>
      <c r="J25" s="10"/>
      <c r="K25" s="10"/>
      <c r="L25" s="10"/>
    </row>
    <row r="26" spans="1:12" ht="12.75">
      <c r="A26" s="141" t="s">
        <v>248</v>
      </c>
      <c r="B26" s="142"/>
      <c r="C26" s="121" t="s">
        <v>316</v>
      </c>
      <c r="D26" s="25"/>
      <c r="E26" s="33"/>
      <c r="F26" s="24"/>
      <c r="G26" s="171" t="s">
        <v>249</v>
      </c>
      <c r="H26" s="142"/>
      <c r="I26" s="122" t="s">
        <v>317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2" t="s">
        <v>250</v>
      </c>
      <c r="B28" s="173"/>
      <c r="C28" s="174"/>
      <c r="D28" s="174"/>
      <c r="E28" s="175" t="s">
        <v>251</v>
      </c>
      <c r="F28" s="176"/>
      <c r="G28" s="176"/>
      <c r="H28" s="177" t="s">
        <v>252</v>
      </c>
      <c r="I28" s="17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6"/>
      <c r="B30" s="159"/>
      <c r="C30" s="159"/>
      <c r="D30" s="160"/>
      <c r="E30" s="166"/>
      <c r="F30" s="159"/>
      <c r="G30" s="159"/>
      <c r="H30" s="156"/>
      <c r="I30" s="157"/>
      <c r="J30" s="10"/>
      <c r="K30" s="10"/>
      <c r="L30" s="10"/>
    </row>
    <row r="31" spans="1:12" ht="12.75">
      <c r="A31" s="93"/>
      <c r="B31" s="22"/>
      <c r="C31" s="21"/>
      <c r="D31" s="167"/>
      <c r="E31" s="167"/>
      <c r="F31" s="167"/>
      <c r="G31" s="168"/>
      <c r="H31" s="16"/>
      <c r="I31" s="100"/>
      <c r="J31" s="10"/>
      <c r="K31" s="10"/>
      <c r="L31" s="10"/>
    </row>
    <row r="32" spans="1:12" ht="12.75">
      <c r="A32" s="166"/>
      <c r="B32" s="159"/>
      <c r="C32" s="159"/>
      <c r="D32" s="160"/>
      <c r="E32" s="166"/>
      <c r="F32" s="159"/>
      <c r="G32" s="159"/>
      <c r="H32" s="156"/>
      <c r="I32" s="15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6"/>
      <c r="B34" s="159"/>
      <c r="C34" s="159"/>
      <c r="D34" s="160"/>
      <c r="E34" s="166"/>
      <c r="F34" s="159"/>
      <c r="G34" s="159"/>
      <c r="H34" s="156"/>
      <c r="I34" s="15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102"/>
      <c r="B37" s="30"/>
      <c r="C37" s="161"/>
      <c r="D37" s="162"/>
      <c r="E37" s="16"/>
      <c r="F37" s="161"/>
      <c r="G37" s="162"/>
      <c r="H37" s="16"/>
      <c r="I37" s="94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6" t="s">
        <v>253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2"/>
      <c r="B45" s="30"/>
      <c r="C45" s="161"/>
      <c r="D45" s="162"/>
      <c r="E45" s="16"/>
      <c r="F45" s="161"/>
      <c r="G45" s="163"/>
      <c r="H45" s="35"/>
      <c r="I45" s="106"/>
      <c r="J45" s="10"/>
      <c r="K45" s="10"/>
      <c r="L45" s="10"/>
    </row>
    <row r="46" spans="1:12" ht="12.75">
      <c r="A46" s="136" t="s">
        <v>254</v>
      </c>
      <c r="B46" s="137"/>
      <c r="C46" s="158" t="s">
        <v>318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3"/>
      <c r="B47" s="22"/>
      <c r="C47" s="21" t="s">
        <v>255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6" t="s">
        <v>256</v>
      </c>
      <c r="B48" s="137"/>
      <c r="C48" s="143" t="s">
        <v>319</v>
      </c>
      <c r="D48" s="139"/>
      <c r="E48" s="140"/>
      <c r="F48" s="16"/>
      <c r="G48" s="51" t="s">
        <v>257</v>
      </c>
      <c r="H48" s="143" t="s">
        <v>320</v>
      </c>
      <c r="I48" s="14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6" t="s">
        <v>243</v>
      </c>
      <c r="B50" s="137"/>
      <c r="C50" s="138" t="s">
        <v>321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1" t="s">
        <v>258</v>
      </c>
      <c r="B52" s="142"/>
      <c r="C52" s="143" t="s">
        <v>338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7"/>
      <c r="B53" s="20"/>
      <c r="C53" s="152" t="s">
        <v>259</v>
      </c>
      <c r="D53" s="152"/>
      <c r="E53" s="152"/>
      <c r="F53" s="152"/>
      <c r="G53" s="152"/>
      <c r="H53" s="15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3.5">
      <c r="A55" s="107"/>
      <c r="B55" s="145" t="s">
        <v>260</v>
      </c>
      <c r="C55" s="146"/>
      <c r="D55" s="146"/>
      <c r="E55" s="14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7" t="s">
        <v>328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7"/>
      <c r="B57" s="147" t="s">
        <v>292</v>
      </c>
      <c r="C57" s="148"/>
      <c r="D57" s="148"/>
      <c r="E57" s="148"/>
      <c r="F57" s="148"/>
      <c r="G57" s="148"/>
      <c r="H57" s="148"/>
      <c r="I57" s="109"/>
      <c r="J57" s="10"/>
      <c r="K57" s="10"/>
      <c r="L57" s="10"/>
    </row>
    <row r="58" spans="1:12" ht="12.75">
      <c r="A58" s="107"/>
      <c r="B58" s="147" t="s">
        <v>293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7"/>
      <c r="B59" s="147" t="s">
        <v>294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261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262</v>
      </c>
      <c r="F62" s="33"/>
      <c r="G62" s="153" t="s">
        <v>263</v>
      </c>
      <c r="H62" s="154"/>
      <c r="I62" s="155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4"/>
      <c r="H63" s="13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64">
      <selection activeCell="K80" sqref="K80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06" t="s">
        <v>144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3.5">
      <c r="A3" s="208" t="s">
        <v>323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1.75">
      <c r="A4" s="211" t="s">
        <v>50</v>
      </c>
      <c r="B4" s="212"/>
      <c r="C4" s="212"/>
      <c r="D4" s="212"/>
      <c r="E4" s="212"/>
      <c r="F4" s="212"/>
      <c r="G4" s="212"/>
      <c r="H4" s="213"/>
      <c r="I4" s="58" t="s">
        <v>264</v>
      </c>
      <c r="J4" s="59" t="s">
        <v>304</v>
      </c>
      <c r="K4" s="60" t="s">
        <v>305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11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3171672610</v>
      </c>
      <c r="K8" s="53">
        <f>K9+K16+K26+K35+K39</f>
        <v>3369427170</v>
      </c>
    </row>
    <row r="9" spans="1:11" ht="12.75">
      <c r="A9" s="214" t="s">
        <v>193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J10+J11+J12+J13+J14+J15</f>
        <v>9202261</v>
      </c>
      <c r="K9" s="53">
        <f>K10+K11+K12+K13+K14+K15</f>
        <v>12853159</v>
      </c>
    </row>
    <row r="10" spans="1:11" ht="12.75">
      <c r="A10" s="214" t="s">
        <v>103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12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9090495</v>
      </c>
      <c r="K11" s="7">
        <v>9094668</v>
      </c>
    </row>
    <row r="12" spans="1:11" ht="12.75">
      <c r="A12" s="214" t="s">
        <v>104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196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197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111766</v>
      </c>
      <c r="K14" s="7">
        <v>3758491</v>
      </c>
    </row>
    <row r="15" spans="1:11" ht="12.75">
      <c r="A15" s="214" t="s">
        <v>198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194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J17+J18+J19+J20+J21+J22+J23+J24+J25</f>
        <v>2379794741</v>
      </c>
      <c r="K16" s="53">
        <f>K17+K18+K19+K20+K21+K22+K23+K24+K25</f>
        <v>2797027212</v>
      </c>
    </row>
    <row r="17" spans="1:11" ht="12.75">
      <c r="A17" s="214" t="s">
        <v>199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519577779</v>
      </c>
      <c r="K17" s="7">
        <v>592402633</v>
      </c>
    </row>
    <row r="18" spans="1:11" ht="12.75">
      <c r="A18" s="214" t="s">
        <v>233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1525902691</v>
      </c>
      <c r="K18" s="7">
        <v>1755623425</v>
      </c>
    </row>
    <row r="19" spans="1:11" ht="12.75">
      <c r="A19" s="214" t="s">
        <v>200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189682352</v>
      </c>
      <c r="K19" s="7">
        <v>184992333</v>
      </c>
    </row>
    <row r="20" spans="1:11" ht="12.75">
      <c r="A20" s="214" t="s">
        <v>23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63877369</v>
      </c>
      <c r="K20" s="7">
        <v>65636651</v>
      </c>
    </row>
    <row r="21" spans="1:11" ht="12.75">
      <c r="A21" s="214" t="s">
        <v>24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63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5072180</v>
      </c>
      <c r="K22" s="7">
        <v>5013480</v>
      </c>
    </row>
    <row r="23" spans="1:11" ht="12.75">
      <c r="A23" s="214" t="s">
        <v>64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32557369</v>
      </c>
      <c r="K23" s="7">
        <v>151849708</v>
      </c>
    </row>
    <row r="24" spans="1:11" ht="12.75">
      <c r="A24" s="214" t="s">
        <v>65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24663310</v>
      </c>
      <c r="K24" s="7">
        <v>23360827</v>
      </c>
    </row>
    <row r="25" spans="1:11" ht="12.75">
      <c r="A25" s="214" t="s">
        <v>66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18461691</v>
      </c>
      <c r="K25" s="7">
        <v>18148155</v>
      </c>
    </row>
    <row r="26" spans="1:11" ht="12.75">
      <c r="A26" s="214" t="s">
        <v>179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J27+J28+J29+J30+J31+J32+J33+J34</f>
        <v>625876740</v>
      </c>
      <c r="K26" s="53">
        <f>K27+K28+K29+K30+K31+K32+K33+K34</f>
        <v>400938921</v>
      </c>
    </row>
    <row r="27" spans="1:11" ht="12.75">
      <c r="A27" s="214" t="s">
        <v>67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584753048</v>
      </c>
      <c r="K27" s="7">
        <v>396526788</v>
      </c>
    </row>
    <row r="28" spans="1:11" ht="12.75">
      <c r="A28" s="214" t="s">
        <v>68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69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140000</v>
      </c>
      <c r="K29" s="7">
        <v>140000</v>
      </c>
    </row>
    <row r="30" spans="1:11" ht="12.75">
      <c r="A30" s="214" t="s">
        <v>74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75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40983692</v>
      </c>
      <c r="K31" s="7">
        <v>3922102</v>
      </c>
    </row>
    <row r="32" spans="1:11" ht="12.75">
      <c r="A32" s="214" t="s">
        <v>76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>
        <v>350031</v>
      </c>
    </row>
    <row r="33" spans="1:11" ht="12.75">
      <c r="A33" s="214" t="s">
        <v>70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308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173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J36+J37+J38</f>
        <v>136460510</v>
      </c>
      <c r="K35" s="53">
        <f>K36+K37+K38</f>
        <v>136380529</v>
      </c>
    </row>
    <row r="36" spans="1:11" ht="12.75">
      <c r="A36" s="214" t="s">
        <v>71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135815357</v>
      </c>
      <c r="K36" s="7">
        <v>135815357</v>
      </c>
    </row>
    <row r="37" spans="1:11" ht="12.75">
      <c r="A37" s="214" t="s">
        <v>72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286116</v>
      </c>
      <c r="K37" s="7">
        <v>258121</v>
      </c>
    </row>
    <row r="38" spans="1:11" ht="12.75">
      <c r="A38" s="214" t="s">
        <v>73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359037</v>
      </c>
      <c r="K38" s="7">
        <v>307051</v>
      </c>
    </row>
    <row r="39" spans="1:11" ht="12.75">
      <c r="A39" s="214" t="s">
        <v>174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20338358</v>
      </c>
      <c r="K39" s="7">
        <v>22227349</v>
      </c>
    </row>
    <row r="40" spans="1:11" ht="12.75">
      <c r="A40" s="203" t="s">
        <v>226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363445425</v>
      </c>
      <c r="K40" s="53">
        <f>K41+K49+K56+K64</f>
        <v>440835937</v>
      </c>
    </row>
    <row r="41" spans="1:11" ht="12.75">
      <c r="A41" s="214" t="s">
        <v>91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J42+J43+J44+J45+J46+J47+J48</f>
        <v>9604766</v>
      </c>
      <c r="K41" s="53">
        <f>K42+K43+K44+K45+K46+K47+K48</f>
        <v>15403070</v>
      </c>
    </row>
    <row r="42" spans="1:11" ht="12.75">
      <c r="A42" s="214" t="s">
        <v>108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8810975</v>
      </c>
      <c r="K42" s="7">
        <v>14212262</v>
      </c>
    </row>
    <row r="43" spans="1:11" ht="12.75">
      <c r="A43" s="214" t="s">
        <v>109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77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78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48797</v>
      </c>
      <c r="K45" s="7">
        <v>445814</v>
      </c>
    </row>
    <row r="46" spans="1:11" ht="12.75">
      <c r="A46" s="214" t="s">
        <v>79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80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744994</v>
      </c>
      <c r="K47" s="7">
        <v>744994</v>
      </c>
    </row>
    <row r="48" spans="1:11" ht="12.75">
      <c r="A48" s="214" t="s">
        <v>81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92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J50+J51+J52+J53+J54+J55</f>
        <v>51857599</v>
      </c>
      <c r="K49" s="53">
        <f>K50+K51+K52+K53+K54+K55</f>
        <v>102222650</v>
      </c>
    </row>
    <row r="50" spans="1:11" ht="12.75">
      <c r="A50" s="214" t="s">
        <v>188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29181921</v>
      </c>
      <c r="K50" s="7">
        <v>15751522</v>
      </c>
    </row>
    <row r="51" spans="1:11" ht="12.75">
      <c r="A51" s="214" t="s">
        <v>189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12765099</v>
      </c>
      <c r="K51" s="7">
        <v>71837498</v>
      </c>
    </row>
    <row r="52" spans="1:11" ht="12.75">
      <c r="A52" s="214" t="s">
        <v>190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191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485286</v>
      </c>
      <c r="K53" s="7">
        <v>4092572</v>
      </c>
    </row>
    <row r="54" spans="1:11" ht="12.75">
      <c r="A54" s="214" t="s">
        <v>8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7009354</v>
      </c>
      <c r="K54" s="7">
        <v>2218174</v>
      </c>
    </row>
    <row r="55" spans="1:11" ht="12.75">
      <c r="A55" s="214" t="s">
        <v>9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2415939</v>
      </c>
      <c r="K55" s="7">
        <v>8322884</v>
      </c>
    </row>
    <row r="56" spans="1:11" ht="12.75">
      <c r="A56" s="214" t="s">
        <v>93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J57+J58+J59+J60+J61+J62+J63</f>
        <v>185980</v>
      </c>
      <c r="K56" s="53">
        <f>K57+K58+K59+K60+K61+K62+K63</f>
        <v>3415630</v>
      </c>
    </row>
    <row r="57" spans="1:11" ht="12.75">
      <c r="A57" s="214" t="s">
        <v>67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68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20300</v>
      </c>
      <c r="K58" s="7">
        <v>20800</v>
      </c>
    </row>
    <row r="59" spans="1:11" ht="12.75">
      <c r="A59" s="214" t="s">
        <v>228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74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75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76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24845</v>
      </c>
      <c r="K62" s="7">
        <v>702190</v>
      </c>
    </row>
    <row r="63" spans="1:11" ht="12.75">
      <c r="A63" s="214" t="s">
        <v>37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140835</v>
      </c>
      <c r="K63" s="7">
        <v>2692640</v>
      </c>
    </row>
    <row r="64" spans="1:11" ht="12.75">
      <c r="A64" s="214" t="s">
        <v>195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301797080</v>
      </c>
      <c r="K64" s="7">
        <v>319794587</v>
      </c>
    </row>
    <row r="65" spans="1:11" ht="12.75">
      <c r="A65" s="203" t="s">
        <v>47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20594349</v>
      </c>
      <c r="K65" s="7">
        <v>87783638</v>
      </c>
    </row>
    <row r="66" spans="1:11" ht="12.75">
      <c r="A66" s="203" t="s">
        <v>227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J8+J40+J65</f>
        <v>3555712384</v>
      </c>
      <c r="K66" s="53">
        <f>K8+K40+K65</f>
        <v>3898046745</v>
      </c>
    </row>
    <row r="67" spans="1:11" ht="12.75">
      <c r="A67" s="217" t="s">
        <v>82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54717679</v>
      </c>
      <c r="K67" s="8">
        <v>54675282</v>
      </c>
    </row>
    <row r="68" spans="1:11" ht="12.75">
      <c r="A68" s="220" t="s">
        <v>49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2" ht="12.75">
      <c r="A69" s="200" t="s">
        <v>180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2088581493</v>
      </c>
      <c r="K69" s="54">
        <f>K70+K71+K72+K78+K79+K82+K85</f>
        <v>1993697305</v>
      </c>
      <c r="L69" s="127"/>
    </row>
    <row r="70" spans="1:11" ht="12.75">
      <c r="A70" s="214" t="s">
        <v>132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1672021210</v>
      </c>
      <c r="K70" s="7">
        <v>1672021210</v>
      </c>
    </row>
    <row r="71" spans="1:11" ht="12.75">
      <c r="A71" s="214" t="s">
        <v>133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109139</v>
      </c>
      <c r="K71" s="7">
        <v>3573938</v>
      </c>
    </row>
    <row r="72" spans="1:11" ht="12.75">
      <c r="A72" s="214" t="s">
        <v>134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+J73+J74-J75+J76+J77</f>
        <v>67203861</v>
      </c>
      <c r="K72" s="53">
        <f>+K73+K74-K75+K76+K77</f>
        <v>89884244</v>
      </c>
    </row>
    <row r="73" spans="1:11" ht="12.75">
      <c r="A73" s="214" t="s">
        <v>135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61906040</v>
      </c>
      <c r="K73" s="7">
        <v>67198750</v>
      </c>
    </row>
    <row r="74" spans="1:11" ht="12.75">
      <c r="A74" s="214" t="s">
        <v>136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34344407</v>
      </c>
      <c r="K74" s="7">
        <v>44815284</v>
      </c>
    </row>
    <row r="75" spans="1:11" ht="12.75">
      <c r="A75" s="214" t="s">
        <v>124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29046586</v>
      </c>
      <c r="K75" s="7">
        <v>31658913</v>
      </c>
    </row>
    <row r="76" spans="1:11" ht="12.75">
      <c r="A76" s="214" t="s">
        <v>125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126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>
        <v>9529123</v>
      </c>
    </row>
    <row r="78" spans="1:12" ht="12.75">
      <c r="A78" s="214" t="s">
        <v>127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31431842</v>
      </c>
      <c r="K78" s="7">
        <v>120668</v>
      </c>
      <c r="L78" s="127"/>
    </row>
    <row r="79" spans="1:11" ht="12.75">
      <c r="A79" s="214" t="s">
        <v>224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+J80-J81</f>
        <v>211961240</v>
      </c>
      <c r="K79" s="53">
        <f>+K80-K81</f>
        <v>226506669</v>
      </c>
    </row>
    <row r="80" spans="1:12" ht="12.75">
      <c r="A80" s="223" t="s">
        <v>159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211961240</v>
      </c>
      <c r="K80" s="7">
        <v>226506669</v>
      </c>
      <c r="L80" s="127"/>
    </row>
    <row r="81" spans="1:12" ht="12.75">
      <c r="A81" s="223" t="s">
        <v>160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  <c r="L81" s="127"/>
    </row>
    <row r="82" spans="1:11" ht="12.75">
      <c r="A82" s="214" t="s">
        <v>225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+J83-J84</f>
        <v>105854201</v>
      </c>
      <c r="K82" s="53">
        <f>+K83-K84</f>
        <v>1590576</v>
      </c>
    </row>
    <row r="83" spans="1:11" ht="12.75">
      <c r="A83" s="223" t="s">
        <v>161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105854201</v>
      </c>
      <c r="K83" s="7">
        <v>1590576</v>
      </c>
    </row>
    <row r="84" spans="1:11" ht="12.75">
      <c r="A84" s="223" t="s">
        <v>162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4" t="s">
        <v>163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03" t="s">
        <v>15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v>0</v>
      </c>
      <c r="K86" s="53">
        <v>0</v>
      </c>
    </row>
    <row r="87" spans="1:11" ht="12.75">
      <c r="A87" s="214" t="s">
        <v>120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121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122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03" t="s">
        <v>16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J91+J92+J93+J94+J95+J96+J97+J98+J99</f>
        <v>1164439231</v>
      </c>
      <c r="K90" s="53">
        <f>K91+K92+K93+K94+K95+K96+K97+K98+K99</f>
        <v>1401131718</v>
      </c>
    </row>
    <row r="91" spans="1:11" ht="12.75">
      <c r="A91" s="214" t="s">
        <v>123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229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1158888007</v>
      </c>
      <c r="K93" s="7">
        <v>1376329639</v>
      </c>
    </row>
    <row r="94" spans="1:11" ht="12.75">
      <c r="A94" s="214" t="s">
        <v>230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231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232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85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83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2833086</v>
      </c>
      <c r="K98" s="7">
        <v>4909709</v>
      </c>
    </row>
    <row r="99" spans="1:11" ht="12.75">
      <c r="A99" s="214" t="s">
        <v>84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2718138</v>
      </c>
      <c r="K99" s="7">
        <v>19892370</v>
      </c>
    </row>
    <row r="100" spans="1:11" ht="12.75">
      <c r="A100" s="203" t="s">
        <v>17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J101+J102+J103+J104+J105+J106+J107+J108+J109+J110+J111+J112</f>
        <v>205346633</v>
      </c>
      <c r="K100" s="53">
        <f>K101+K102+K103+K104+K105+K106+K107+K108+K109+K110+K111+K112</f>
        <v>413537839</v>
      </c>
    </row>
    <row r="101" spans="1:11" ht="12.75">
      <c r="A101" s="214" t="s">
        <v>123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204906</v>
      </c>
      <c r="K101" s="7">
        <v>125197</v>
      </c>
    </row>
    <row r="102" spans="1:11" ht="12.75">
      <c r="A102" s="214" t="s">
        <v>229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125355698</v>
      </c>
      <c r="K103" s="7">
        <v>101431212</v>
      </c>
    </row>
    <row r="104" spans="1:11" ht="12.75">
      <c r="A104" s="214" t="s">
        <v>230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12944972</v>
      </c>
      <c r="K104" s="7">
        <v>168871265</v>
      </c>
    </row>
    <row r="105" spans="1:11" ht="12.75">
      <c r="A105" s="214" t="s">
        <v>231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43376126</v>
      </c>
      <c r="K105" s="7">
        <v>83891715</v>
      </c>
    </row>
    <row r="106" spans="1:11" ht="12.75">
      <c r="A106" s="214" t="s">
        <v>232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85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86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14943850</v>
      </c>
      <c r="K108" s="7">
        <v>26412741</v>
      </c>
    </row>
    <row r="109" spans="1:11" ht="12.75">
      <c r="A109" s="214" t="s">
        <v>87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6643162</v>
      </c>
      <c r="K109" s="7">
        <v>28932526</v>
      </c>
    </row>
    <row r="110" spans="1:11" ht="12.75">
      <c r="A110" s="214" t="s">
        <v>90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>
        <v>59985</v>
      </c>
    </row>
    <row r="111" spans="1:11" ht="12.75">
      <c r="A111" s="214" t="s">
        <v>88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89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1877919</v>
      </c>
      <c r="K112" s="7">
        <v>3813198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97345027</v>
      </c>
      <c r="K113" s="7">
        <v>89679883</v>
      </c>
    </row>
    <row r="114" spans="1:11" ht="12.75">
      <c r="A114" s="203" t="s">
        <v>21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3555712384</v>
      </c>
      <c r="K114" s="53">
        <f>K69+K86+K90+K100+K113</f>
        <v>3898046745</v>
      </c>
    </row>
    <row r="115" spans="1:11" ht="12.75">
      <c r="A115" s="228" t="s">
        <v>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54717679</v>
      </c>
      <c r="K115" s="8">
        <v>54675282</v>
      </c>
    </row>
    <row r="116" spans="1:11" ht="12.75">
      <c r="A116" s="220" t="s">
        <v>295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175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6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36" t="s">
        <v>7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296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6" spans="10:11" ht="12.75">
      <c r="J126" s="128">
        <f>+J114-J66</f>
        <v>0</v>
      </c>
      <c r="K126" s="128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K1:IV65536 J1:J9 J16 J26 J35 J40:J41 J49 J56 J66 J68:J69 J72 J79 J82 J86:J90 J100 J114 J116:J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M60" sqref="M6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6" t="s">
        <v>145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1" t="s">
        <v>323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2.5">
      <c r="A4" s="242" t="s">
        <v>50</v>
      </c>
      <c r="B4" s="242"/>
      <c r="C4" s="242"/>
      <c r="D4" s="242"/>
      <c r="E4" s="242"/>
      <c r="F4" s="242"/>
      <c r="G4" s="242"/>
      <c r="H4" s="242"/>
      <c r="I4" s="58" t="s">
        <v>265</v>
      </c>
      <c r="J4" s="243" t="s">
        <v>304</v>
      </c>
      <c r="K4" s="243"/>
      <c r="L4" s="243" t="s">
        <v>305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22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352561204</v>
      </c>
      <c r="K7" s="54">
        <f>SUM(K8:K9)</f>
        <v>328368023</v>
      </c>
      <c r="L7" s="54">
        <f>SUM(L8:L9)</f>
        <v>428954339</v>
      </c>
      <c r="M7" s="54">
        <f>SUM(M8:M9)</f>
        <v>378538652</v>
      </c>
    </row>
    <row r="8" spans="1:13" ht="12.75">
      <c r="A8" s="203" t="s">
        <v>143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340024539</v>
      </c>
      <c r="K8" s="7">
        <f>+J8-17366046</f>
        <v>322658493</v>
      </c>
      <c r="L8" s="7">
        <v>416545792</v>
      </c>
      <c r="M8" s="7">
        <f>+L8-46122914</f>
        <v>370422878</v>
      </c>
    </row>
    <row r="9" spans="1:13" ht="12.75">
      <c r="A9" s="203" t="s">
        <v>94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f>1131959+11404706</f>
        <v>12536665</v>
      </c>
      <c r="K9" s="7">
        <f>+J9-6827135</f>
        <v>5709530</v>
      </c>
      <c r="L9" s="7">
        <f>1170372+11238175</f>
        <v>12408547</v>
      </c>
      <c r="M9" s="7">
        <f>+L9-4292773</f>
        <v>8115774</v>
      </c>
    </row>
    <row r="10" spans="1:13" ht="12.75">
      <c r="A10" s="203" t="s">
        <v>10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439491086</v>
      </c>
      <c r="K10" s="53">
        <f>K11+K12+K16+K20+K21+K22+K25+K26</f>
        <v>294801142</v>
      </c>
      <c r="L10" s="53">
        <f>L11+L12+L16+L20+L21+L22+L25+L26</f>
        <v>470716677</v>
      </c>
      <c r="M10" s="53">
        <f>M11+M12+M16+M20+M21+M22+M25+M26</f>
        <v>314766159</v>
      </c>
    </row>
    <row r="11" spans="1:13" ht="12.75">
      <c r="A11" s="203" t="s">
        <v>95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18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162047807</v>
      </c>
      <c r="K12" s="53">
        <f>SUM(K13:K15)</f>
        <v>124552435</v>
      </c>
      <c r="L12" s="53">
        <f>SUM(L13:L15)</f>
        <v>159900604</v>
      </c>
      <c r="M12" s="53">
        <f>SUM(M13:M15)</f>
        <v>122411408</v>
      </c>
    </row>
    <row r="13" spans="1:13" ht="12.75">
      <c r="A13" s="214" t="s">
        <v>137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80115307</v>
      </c>
      <c r="K13" s="7">
        <f>+J13-12492793</f>
        <v>67622514</v>
      </c>
      <c r="L13" s="7">
        <v>90469259</v>
      </c>
      <c r="M13" s="7">
        <f>+L13-17201115</f>
        <v>73268144</v>
      </c>
    </row>
    <row r="14" spans="1:13" ht="12.75">
      <c r="A14" s="214" t="s">
        <v>138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387545</v>
      </c>
      <c r="K14" s="7">
        <f>+J14-5976</f>
        <v>381569</v>
      </c>
      <c r="L14" s="7">
        <v>565038</v>
      </c>
      <c r="M14" s="7">
        <f>+L14-42875</f>
        <v>522163</v>
      </c>
    </row>
    <row r="15" spans="1:13" ht="12.75">
      <c r="A15" s="214" t="s">
        <v>52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81544955</v>
      </c>
      <c r="K15" s="7">
        <f>+J15-24996603</f>
        <v>56548352</v>
      </c>
      <c r="L15" s="7">
        <v>68866307</v>
      </c>
      <c r="M15" s="7">
        <f>+L15-20245206</f>
        <v>48621101</v>
      </c>
    </row>
    <row r="16" spans="1:13" ht="12.75">
      <c r="A16" s="203" t="s">
        <v>19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121679941</v>
      </c>
      <c r="K16" s="53">
        <f>SUM(K17:K19)</f>
        <v>87946316</v>
      </c>
      <c r="L16" s="53">
        <f>L17+L18+L19</f>
        <v>141185679</v>
      </c>
      <c r="M16" s="53">
        <f>SUM(M17:M19)</f>
        <v>98289066</v>
      </c>
    </row>
    <row r="17" spans="1:13" ht="12.75">
      <c r="A17" s="214" t="s">
        <v>53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72853985</v>
      </c>
      <c r="K17" s="7">
        <f>+J17-19720615</f>
        <v>53133370</v>
      </c>
      <c r="L17" s="7">
        <v>86014541</v>
      </c>
      <c r="M17" s="7">
        <f>+L17-25695818</f>
        <v>60318723</v>
      </c>
    </row>
    <row r="18" spans="1:13" ht="12.75">
      <c r="A18" s="214" t="s">
        <v>54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31367196</v>
      </c>
      <c r="K18" s="7">
        <f>+J18-9064700</f>
        <v>22302496</v>
      </c>
      <c r="L18" s="7">
        <v>35034227</v>
      </c>
      <c r="M18" s="7">
        <f>+L18-11114360</f>
        <v>23919867</v>
      </c>
    </row>
    <row r="19" spans="1:13" ht="12.75">
      <c r="A19" s="214" t="s">
        <v>55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17458760</v>
      </c>
      <c r="K19" s="7">
        <f>+J19-4948310</f>
        <v>12510450</v>
      </c>
      <c r="L19" s="7">
        <v>20136911</v>
      </c>
      <c r="M19" s="7">
        <f>+L19-6086435</f>
        <v>14050476</v>
      </c>
    </row>
    <row r="20" spans="1:13" ht="12.75">
      <c r="A20" s="203" t="s">
        <v>96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107139171</v>
      </c>
      <c r="K20" s="7">
        <f>+J20-53484484</f>
        <v>53654687</v>
      </c>
      <c r="L20" s="7">
        <v>118284009</v>
      </c>
      <c r="M20" s="7">
        <f>+L20-56336741</f>
        <v>61947268</v>
      </c>
    </row>
    <row r="21" spans="1:13" ht="12.75">
      <c r="A21" s="203" t="s">
        <v>97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46286221</v>
      </c>
      <c r="K21" s="7">
        <f>+J21-18075750</f>
        <v>28210471</v>
      </c>
      <c r="L21" s="7">
        <v>49699510</v>
      </c>
      <c r="M21" s="7">
        <f>+L21-18409025</f>
        <v>31290485</v>
      </c>
    </row>
    <row r="22" spans="1:13" ht="12.75">
      <c r="A22" s="203" t="s">
        <v>20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235807</v>
      </c>
      <c r="K22" s="53">
        <f>SUM(K23:K24)</f>
        <v>108959</v>
      </c>
      <c r="L22" s="53">
        <f>SUM(L23:L24)</f>
        <v>41750</v>
      </c>
      <c r="M22" s="53">
        <f>SUM(M23:M24)</f>
        <v>38525</v>
      </c>
    </row>
    <row r="23" spans="1:13" ht="12.75">
      <c r="A23" s="214" t="s">
        <v>128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129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235807</v>
      </c>
      <c r="K24" s="7">
        <f>+J24-126848</f>
        <v>108959</v>
      </c>
      <c r="L24" s="7">
        <v>41750</v>
      </c>
      <c r="M24" s="7">
        <f>+L24-3225</f>
        <v>38525</v>
      </c>
    </row>
    <row r="25" spans="1:13" ht="12.75">
      <c r="A25" s="203" t="s">
        <v>98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41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2102139</v>
      </c>
      <c r="K26" s="7">
        <f>+J26-1773865</f>
        <v>328274</v>
      </c>
      <c r="L26" s="7">
        <v>1605125</v>
      </c>
      <c r="M26" s="7">
        <f>+L26-815718</f>
        <v>789407</v>
      </c>
    </row>
    <row r="27" spans="1:13" ht="12.75">
      <c r="A27" s="203" t="s">
        <v>201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40619996</v>
      </c>
      <c r="K27" s="53">
        <f>SUM(K28:K32)</f>
        <v>12272495</v>
      </c>
      <c r="L27" s="53">
        <f>SUM(L28:L32)</f>
        <v>69275275</v>
      </c>
      <c r="M27" s="53">
        <f>SUM(M28:M32)</f>
        <v>38181248</v>
      </c>
    </row>
    <row r="28" spans="1:13" ht="13.5" customHeight="1">
      <c r="A28" s="244" t="s">
        <v>326</v>
      </c>
      <c r="B28" s="245"/>
      <c r="C28" s="245"/>
      <c r="D28" s="245"/>
      <c r="E28" s="245"/>
      <c r="F28" s="245"/>
      <c r="G28" s="245"/>
      <c r="H28" s="246"/>
      <c r="I28" s="1">
        <v>132</v>
      </c>
      <c r="J28" s="7">
        <v>24037704</v>
      </c>
      <c r="K28" s="7">
        <f>+J28-24037704</f>
        <v>0</v>
      </c>
      <c r="L28" s="7"/>
      <c r="M28" s="7"/>
    </row>
    <row r="29" spans="1:13" ht="12.75" customHeight="1">
      <c r="A29" s="203" t="s">
        <v>327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12307654</v>
      </c>
      <c r="K29" s="7">
        <f>+J29-2484563</f>
        <v>9823091</v>
      </c>
      <c r="L29" s="7">
        <v>26827021</v>
      </c>
      <c r="M29" s="7">
        <f>+L29-21584742</f>
        <v>5242279</v>
      </c>
    </row>
    <row r="30" spans="1:13" ht="12.75">
      <c r="A30" s="203" t="s">
        <v>130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211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3353517</v>
      </c>
      <c r="K31" s="7">
        <f>+J31-1504346</f>
        <v>1849171</v>
      </c>
      <c r="L31" s="7">
        <v>5873651</v>
      </c>
      <c r="M31" s="7">
        <f>+L31-911490</f>
        <v>4962161</v>
      </c>
    </row>
    <row r="32" spans="1:13" ht="12.75">
      <c r="A32" s="203" t="s">
        <v>131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921121</v>
      </c>
      <c r="K32" s="7">
        <f>+J32-320888</f>
        <v>600233</v>
      </c>
      <c r="L32" s="7">
        <v>36574603</v>
      </c>
      <c r="M32" s="7">
        <f>+L32-8597795</f>
        <v>27976808</v>
      </c>
    </row>
    <row r="33" spans="1:13" ht="12.75">
      <c r="A33" s="203" t="s">
        <v>202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39865518</v>
      </c>
      <c r="K33" s="53">
        <f>SUM(K34:K37)</f>
        <v>7753523</v>
      </c>
      <c r="L33" s="53">
        <f>SUM(L34:L37)</f>
        <v>25922361</v>
      </c>
      <c r="M33" s="53">
        <f>SUM(M34:M37)</f>
        <v>13073988</v>
      </c>
    </row>
    <row r="34" spans="1:13" ht="12.75">
      <c r="A34" s="203" t="s">
        <v>57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12.75">
      <c r="A35" s="247" t="s">
        <v>56</v>
      </c>
      <c r="B35" s="248"/>
      <c r="C35" s="248"/>
      <c r="D35" s="248"/>
      <c r="E35" s="248"/>
      <c r="F35" s="248"/>
      <c r="G35" s="248"/>
      <c r="H35" s="249"/>
      <c r="I35" s="1">
        <v>139</v>
      </c>
      <c r="J35" s="7">
        <v>37835989</v>
      </c>
      <c r="K35" s="7">
        <f>+J35-30735443</f>
        <v>7100546</v>
      </c>
      <c r="L35" s="7">
        <v>20366260</v>
      </c>
      <c r="M35" s="7">
        <f>+L35-10457252</f>
        <v>9909008</v>
      </c>
    </row>
    <row r="36" spans="1:13" ht="12.75">
      <c r="A36" s="203" t="s">
        <v>212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1671778</v>
      </c>
      <c r="K36" s="7">
        <f>+J36-1266500</f>
        <v>405278</v>
      </c>
      <c r="L36" s="7">
        <v>4926588</v>
      </c>
      <c r="M36" s="7">
        <f>+L36-2053107</f>
        <v>2873481</v>
      </c>
    </row>
    <row r="37" spans="1:13" ht="12.75">
      <c r="A37" s="203" t="s">
        <v>58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357751</v>
      </c>
      <c r="K37" s="7">
        <f>+J37-110052</f>
        <v>247699</v>
      </c>
      <c r="L37" s="7">
        <v>629513</v>
      </c>
      <c r="M37" s="7">
        <f>+L37-338014</f>
        <v>291499</v>
      </c>
    </row>
    <row r="38" spans="1:13" ht="12.75">
      <c r="A38" s="203" t="s">
        <v>183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184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213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214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203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393181200</v>
      </c>
      <c r="K42" s="53">
        <f>K7+K27+K38+K40</f>
        <v>340640518</v>
      </c>
      <c r="L42" s="53">
        <f>L7+L27+L38+L40</f>
        <v>498229614</v>
      </c>
      <c r="M42" s="53">
        <f>M7+M27+M38+M40</f>
        <v>416719900</v>
      </c>
    </row>
    <row r="43" spans="1:13" ht="12.75">
      <c r="A43" s="203" t="s">
        <v>204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479356604</v>
      </c>
      <c r="K43" s="53">
        <f>K10+K33+K39+K41</f>
        <v>302554665</v>
      </c>
      <c r="L43" s="53">
        <f>L10+L33+L39+L41</f>
        <v>496639038</v>
      </c>
      <c r="M43" s="53">
        <f>M10+M33+M39+M41</f>
        <v>327840147</v>
      </c>
    </row>
    <row r="44" spans="1:13" ht="12.75">
      <c r="A44" s="203" t="s">
        <v>222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-86175404</v>
      </c>
      <c r="K44" s="53">
        <f>K42-K43</f>
        <v>38085853</v>
      </c>
      <c r="L44" s="53">
        <f>L42-L43</f>
        <v>1590576</v>
      </c>
      <c r="M44" s="53">
        <f>M42-M43</f>
        <v>88879753</v>
      </c>
    </row>
    <row r="45" spans="1:13" ht="12.75">
      <c r="A45" s="223" t="s">
        <v>206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0</v>
      </c>
      <c r="K45" s="53">
        <f>IF(K42&gt;K43,K42-K43,0)</f>
        <v>38085853</v>
      </c>
      <c r="L45" s="53">
        <f>IF(L42&gt;L43,L42-L43,0)</f>
        <v>1590576</v>
      </c>
      <c r="M45" s="53">
        <f>IF(M42&gt;M43,M42-M43,0)</f>
        <v>88879753</v>
      </c>
    </row>
    <row r="46" spans="1:13" ht="12.75">
      <c r="A46" s="223" t="s">
        <v>207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86175404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3" t="s">
        <v>205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223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-86175404</v>
      </c>
      <c r="K48" s="53">
        <f>K44-K47</f>
        <v>38085853</v>
      </c>
      <c r="L48" s="53">
        <f>L44-L47</f>
        <v>1590576</v>
      </c>
      <c r="M48" s="53">
        <f>M44-M47</f>
        <v>88879753</v>
      </c>
    </row>
    <row r="49" spans="1:13" ht="12.75">
      <c r="A49" s="223" t="s">
        <v>181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0</v>
      </c>
      <c r="K49" s="53">
        <f>IF(K48&gt;0,K48,0)</f>
        <v>38085853</v>
      </c>
      <c r="L49" s="53">
        <f>IF(L48&gt;0,L48,0)</f>
        <v>1590576</v>
      </c>
      <c r="M49" s="53">
        <f>IF(M48&gt;0,M48,0)</f>
        <v>88879753</v>
      </c>
    </row>
    <row r="50" spans="1:13" ht="12.75">
      <c r="A50" s="253" t="s">
        <v>208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>
        <f>IF(J48&lt;0,-J48,0)</f>
        <v>86175404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0" t="s">
        <v>297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176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50" t="s">
        <v>220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+J48</f>
        <v>-86175404</v>
      </c>
      <c r="K53" s="7">
        <f>+K48</f>
        <v>38085853</v>
      </c>
      <c r="L53" s="7">
        <f>+L48</f>
        <v>1590576</v>
      </c>
      <c r="M53" s="7">
        <f>+M48</f>
        <v>88879753</v>
      </c>
    </row>
    <row r="54" spans="1:13" ht="12.75">
      <c r="A54" s="250" t="s">
        <v>221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0" t="s">
        <v>178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192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+J53</f>
        <v>-86175404</v>
      </c>
      <c r="K56" s="6">
        <f>+K53</f>
        <v>38085853</v>
      </c>
      <c r="L56" s="6">
        <f>+L53</f>
        <v>1590576</v>
      </c>
      <c r="M56" s="6">
        <f>+M53</f>
        <v>88879753</v>
      </c>
    </row>
    <row r="57" spans="1:13" ht="12.75">
      <c r="A57" s="203" t="s">
        <v>209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2048322</v>
      </c>
      <c r="K57" s="53">
        <f>SUM(K58:K64)</f>
        <v>2048322</v>
      </c>
      <c r="L57" s="53">
        <f>SUM(L58:L64)</f>
        <v>-33999145</v>
      </c>
      <c r="M57" s="53">
        <f>SUM(M58:M64)</f>
        <v>-24982265</v>
      </c>
    </row>
    <row r="58" spans="1:13" ht="12.75">
      <c r="A58" s="203" t="s">
        <v>215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47" t="s">
        <v>329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12.75" customHeight="1">
      <c r="A60" s="247" t="s">
        <v>330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>
        <v>2048322</v>
      </c>
      <c r="K60" s="7">
        <v>2048322</v>
      </c>
      <c r="L60" s="7">
        <v>-33999145</v>
      </c>
      <c r="M60" s="7">
        <f>+L60+9016880</f>
        <v>-24982265</v>
      </c>
    </row>
    <row r="61" spans="1:13" ht="12.75">
      <c r="A61" s="203" t="s">
        <v>216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217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218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219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210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f>+J60*0.2</f>
        <v>409664.4</v>
      </c>
      <c r="K65" s="7">
        <f>+K60*0.2</f>
        <v>409664.4</v>
      </c>
      <c r="L65" s="7">
        <v>-2687971</v>
      </c>
      <c r="M65" s="7">
        <v>-884594</v>
      </c>
    </row>
    <row r="66" spans="1:13" ht="12.75" customHeight="1">
      <c r="A66" s="203" t="s">
        <v>331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1638657.6</v>
      </c>
      <c r="K66" s="53">
        <f>K57-K65</f>
        <v>1638657.6</v>
      </c>
      <c r="L66" s="53">
        <f>L57-L65</f>
        <v>-31311174</v>
      </c>
      <c r="M66" s="53">
        <f>M57-M65</f>
        <v>-24097671</v>
      </c>
    </row>
    <row r="67" spans="1:13" ht="12.75">
      <c r="A67" s="203" t="s">
        <v>182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-84536746.4</v>
      </c>
      <c r="K67" s="61">
        <f>K56+K66</f>
        <v>39724510.6</v>
      </c>
      <c r="L67" s="61">
        <f>L56+L66</f>
        <v>-29720598</v>
      </c>
      <c r="M67" s="61">
        <f>M56+M66</f>
        <v>64782082</v>
      </c>
    </row>
    <row r="68" spans="1:13" ht="12.75" customHeight="1">
      <c r="A68" s="260" t="s">
        <v>298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177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220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221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110" zoomScaleSheetLayoutView="110" zoomScalePageLayoutView="0" workbookViewId="0" topLeftCell="A16">
      <selection activeCell="K51" sqref="K51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67" t="s">
        <v>154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2.5">
      <c r="A4" s="269" t="s">
        <v>50</v>
      </c>
      <c r="B4" s="269"/>
      <c r="C4" s="269"/>
      <c r="D4" s="269"/>
      <c r="E4" s="269"/>
      <c r="F4" s="269"/>
      <c r="G4" s="269"/>
      <c r="H4" s="269"/>
      <c r="I4" s="66" t="s">
        <v>265</v>
      </c>
      <c r="J4" s="67" t="s">
        <v>304</v>
      </c>
      <c r="K4" s="67" t="s">
        <v>305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269</v>
      </c>
      <c r="K5" s="69" t="s">
        <v>270</v>
      </c>
    </row>
    <row r="6" spans="1:11" ht="12.75">
      <c r="A6" s="220" t="s">
        <v>146</v>
      </c>
      <c r="B6" s="231"/>
      <c r="C6" s="231"/>
      <c r="D6" s="231"/>
      <c r="E6" s="231"/>
      <c r="F6" s="231"/>
      <c r="G6" s="231"/>
      <c r="H6" s="231"/>
      <c r="I6" s="271"/>
      <c r="J6" s="271"/>
      <c r="K6" s="272"/>
    </row>
    <row r="7" spans="1:11" ht="12.75">
      <c r="A7" s="214" t="s">
        <v>32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-86175404</v>
      </c>
      <c r="K7" s="7">
        <v>1590576</v>
      </c>
    </row>
    <row r="8" spans="1:11" ht="12.75">
      <c r="A8" s="214" t="s">
        <v>33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107139171</v>
      </c>
      <c r="K8" s="7">
        <v>118284009</v>
      </c>
    </row>
    <row r="9" spans="1:11" ht="12.75">
      <c r="A9" s="214" t="s">
        <v>34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f>258519808-68922466</f>
        <v>189597342</v>
      </c>
      <c r="K9" s="7">
        <v>231414966</v>
      </c>
    </row>
    <row r="10" spans="1:11" ht="12.75">
      <c r="A10" s="214" t="s">
        <v>35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/>
    </row>
    <row r="11" spans="1:11" ht="12.75">
      <c r="A11" s="214" t="s">
        <v>36</v>
      </c>
      <c r="B11" s="215"/>
      <c r="C11" s="215"/>
      <c r="D11" s="215"/>
      <c r="E11" s="215"/>
      <c r="F11" s="215"/>
      <c r="G11" s="215"/>
      <c r="H11" s="215"/>
      <c r="I11" s="1">
        <v>5</v>
      </c>
      <c r="J11" s="7"/>
      <c r="K11" s="7"/>
    </row>
    <row r="12" spans="1:11" ht="12.75">
      <c r="A12" s="214" t="s">
        <v>42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52997</v>
      </c>
      <c r="K12" s="7"/>
    </row>
    <row r="13" spans="1:11" ht="12.75">
      <c r="A13" s="203" t="s">
        <v>147</v>
      </c>
      <c r="B13" s="204"/>
      <c r="C13" s="204"/>
      <c r="D13" s="204"/>
      <c r="E13" s="204"/>
      <c r="F13" s="204"/>
      <c r="G13" s="204"/>
      <c r="H13" s="204"/>
      <c r="I13" s="1">
        <v>7</v>
      </c>
      <c r="J13" s="53">
        <f>SUM(J7:J12)</f>
        <v>210614106</v>
      </c>
      <c r="K13" s="53">
        <f>SUM(K7:K12)</f>
        <v>351289551</v>
      </c>
    </row>
    <row r="14" spans="1:11" ht="12.75">
      <c r="A14" s="214" t="s">
        <v>43</v>
      </c>
      <c r="B14" s="215"/>
      <c r="C14" s="215"/>
      <c r="D14" s="215"/>
      <c r="E14" s="215"/>
      <c r="F14" s="215"/>
      <c r="G14" s="215"/>
      <c r="H14" s="215"/>
      <c r="I14" s="1">
        <v>8</v>
      </c>
      <c r="J14" s="7"/>
      <c r="K14" s="7"/>
    </row>
    <row r="15" spans="1:11" ht="12.75">
      <c r="A15" s="214" t="s">
        <v>44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27609556</v>
      </c>
      <c r="K15" s="7">
        <v>115458931</v>
      </c>
    </row>
    <row r="16" spans="1:11" ht="12.75">
      <c r="A16" s="214" t="s">
        <v>45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2638110</v>
      </c>
      <c r="K16" s="7">
        <v>5641868</v>
      </c>
    </row>
    <row r="17" spans="1:11" ht="12.75">
      <c r="A17" s="214" t="s">
        <v>46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58217939</v>
      </c>
      <c r="K17" s="7">
        <v>52062667</v>
      </c>
    </row>
    <row r="18" spans="1:11" ht="12.75">
      <c r="A18" s="203" t="s">
        <v>148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3">
        <f>SUM(J14:J17)</f>
        <v>88465605</v>
      </c>
      <c r="K18" s="53">
        <f>SUM(K14:K17)</f>
        <v>173163466</v>
      </c>
    </row>
    <row r="19" spans="1:11" ht="12.75">
      <c r="A19" s="203" t="s">
        <v>332</v>
      </c>
      <c r="B19" s="204"/>
      <c r="C19" s="204"/>
      <c r="D19" s="204"/>
      <c r="E19" s="204"/>
      <c r="F19" s="204"/>
      <c r="G19" s="204"/>
      <c r="H19" s="205"/>
      <c r="I19" s="1">
        <v>13</v>
      </c>
      <c r="J19" s="53">
        <f>IF(J13&gt;J18,J13-J18,0)</f>
        <v>122148501</v>
      </c>
      <c r="K19" s="53">
        <f>IF(K13&gt;K18,K13-K18,0)</f>
        <v>178126085</v>
      </c>
    </row>
    <row r="20" spans="1:11" ht="12.75">
      <c r="A20" s="217" t="s">
        <v>333</v>
      </c>
      <c r="B20" s="218"/>
      <c r="C20" s="218"/>
      <c r="D20" s="218"/>
      <c r="E20" s="218"/>
      <c r="F20" s="218"/>
      <c r="G20" s="218"/>
      <c r="H20" s="21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20" t="s">
        <v>149</v>
      </c>
      <c r="B21" s="231"/>
      <c r="C21" s="231"/>
      <c r="D21" s="231"/>
      <c r="E21" s="231"/>
      <c r="F21" s="231"/>
      <c r="G21" s="231"/>
      <c r="H21" s="231"/>
      <c r="I21" s="271"/>
      <c r="J21" s="271"/>
      <c r="K21" s="272"/>
    </row>
    <row r="22" spans="1:11" ht="12.75">
      <c r="A22" s="214" t="s">
        <v>168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/>
      <c r="K22" s="7"/>
    </row>
    <row r="23" spans="1:11" ht="12.75">
      <c r="A23" s="214" t="s">
        <v>169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/>
      <c r="K23" s="7">
        <v>39024277</v>
      </c>
    </row>
    <row r="24" spans="1:11" ht="12.75">
      <c r="A24" s="214" t="s">
        <v>170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/>
      <c r="K24" s="7"/>
    </row>
    <row r="25" spans="1:11" ht="12.75">
      <c r="A25" s="214" t="s">
        <v>171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172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/>
      <c r="K26" s="7">
        <v>2549</v>
      </c>
    </row>
    <row r="27" spans="1:11" ht="12.75">
      <c r="A27" s="203" t="s">
        <v>158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3">
        <f>SUM(J22:J26)</f>
        <v>0</v>
      </c>
      <c r="K27" s="53">
        <f>SUM(K22:K26)</f>
        <v>39026826</v>
      </c>
    </row>
    <row r="28" spans="1:11" ht="12.75">
      <c r="A28" s="214" t="s">
        <v>106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221994698</v>
      </c>
      <c r="K28" s="7">
        <v>169461124</v>
      </c>
    </row>
    <row r="29" spans="1:11" ht="12.75">
      <c r="A29" s="214" t="s">
        <v>107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>
      <c r="A30" s="214" t="s">
        <v>14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175702232</v>
      </c>
      <c r="K30" s="7">
        <v>530826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53">
        <f>SUM(J28:J30)</f>
        <v>397696930</v>
      </c>
      <c r="K31" s="53">
        <f>SUM(K28:K30)</f>
        <v>169991950</v>
      </c>
    </row>
    <row r="32" spans="1:11" ht="12.75">
      <c r="A32" s="203" t="s">
        <v>334</v>
      </c>
      <c r="B32" s="204"/>
      <c r="C32" s="204"/>
      <c r="D32" s="204"/>
      <c r="E32" s="204"/>
      <c r="F32" s="204"/>
      <c r="G32" s="204"/>
      <c r="H32" s="205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7" t="s">
        <v>335</v>
      </c>
      <c r="B33" s="218"/>
      <c r="C33" s="218"/>
      <c r="D33" s="218"/>
      <c r="E33" s="218"/>
      <c r="F33" s="218"/>
      <c r="G33" s="218"/>
      <c r="H33" s="219"/>
      <c r="I33" s="1">
        <v>26</v>
      </c>
      <c r="J33" s="53">
        <f>IF(J31&gt;J27,J31-J27,0)</f>
        <v>397696930</v>
      </c>
      <c r="K33" s="53">
        <f>IF(K31&gt;K27,K31-K27,0)</f>
        <v>130965124</v>
      </c>
    </row>
    <row r="34" spans="1:11" ht="12.75">
      <c r="A34" s="220" t="s">
        <v>150</v>
      </c>
      <c r="B34" s="231"/>
      <c r="C34" s="231"/>
      <c r="D34" s="231"/>
      <c r="E34" s="231"/>
      <c r="F34" s="231"/>
      <c r="G34" s="231"/>
      <c r="H34" s="231"/>
      <c r="I34" s="271"/>
      <c r="J34" s="271"/>
      <c r="K34" s="272"/>
    </row>
    <row r="35" spans="1:11" ht="12.75">
      <c r="A35" s="214" t="s">
        <v>164</v>
      </c>
      <c r="B35" s="215"/>
      <c r="C35" s="215"/>
      <c r="D35" s="215"/>
      <c r="E35" s="215"/>
      <c r="F35" s="215"/>
      <c r="G35" s="215"/>
      <c r="H35" s="215"/>
      <c r="I35" s="1">
        <v>27</v>
      </c>
      <c r="J35" s="132"/>
      <c r="K35" s="7"/>
    </row>
    <row r="36" spans="1:11" ht="12.75">
      <c r="A36" s="214" t="s">
        <v>25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263384553</v>
      </c>
      <c r="K36" s="7">
        <v>153895331</v>
      </c>
    </row>
    <row r="37" spans="1:11" ht="12.75">
      <c r="A37" s="214" t="s">
        <v>26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1638658</v>
      </c>
      <c r="K37" s="7"/>
    </row>
    <row r="38" spans="1:11" ht="12.75">
      <c r="A38" s="203" t="s">
        <v>59</v>
      </c>
      <c r="B38" s="204"/>
      <c r="C38" s="204"/>
      <c r="D38" s="204"/>
      <c r="E38" s="204"/>
      <c r="F38" s="204"/>
      <c r="G38" s="204"/>
      <c r="H38" s="204"/>
      <c r="I38" s="1">
        <v>30</v>
      </c>
      <c r="J38" s="53">
        <f>SUM(J35:J37)</f>
        <v>265023211</v>
      </c>
      <c r="K38" s="53">
        <f>SUM(K36:K37)</f>
        <v>153895331</v>
      </c>
    </row>
    <row r="39" spans="1:11" ht="12.75">
      <c r="A39" s="214" t="s">
        <v>27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/>
      <c r="K39" s="7">
        <v>110035621</v>
      </c>
    </row>
    <row r="40" spans="1:11" ht="12.75">
      <c r="A40" s="214" t="s">
        <v>28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>
        <v>37330521</v>
      </c>
    </row>
    <row r="41" spans="1:11" ht="12.75">
      <c r="A41" s="214" t="s">
        <v>29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/>
      <c r="K41" s="7"/>
    </row>
    <row r="42" spans="1:11" ht="12.75">
      <c r="A42" s="214" t="s">
        <v>30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4462755</v>
      </c>
      <c r="K42" s="7">
        <v>35692643</v>
      </c>
    </row>
    <row r="43" spans="1:11" ht="12.75">
      <c r="A43" s="214" t="s">
        <v>31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9251135</v>
      </c>
      <c r="K43" s="7"/>
    </row>
    <row r="44" spans="1:11" ht="12.75">
      <c r="A44" s="203" t="s">
        <v>60</v>
      </c>
      <c r="B44" s="204"/>
      <c r="C44" s="204"/>
      <c r="D44" s="204"/>
      <c r="E44" s="204"/>
      <c r="F44" s="204"/>
      <c r="G44" s="204"/>
      <c r="H44" s="204"/>
      <c r="I44" s="1">
        <v>36</v>
      </c>
      <c r="J44" s="53">
        <f>SUM(J39:J43)</f>
        <v>13713890</v>
      </c>
      <c r="K44" s="53">
        <f>SUM(K39:K43)</f>
        <v>183058785</v>
      </c>
    </row>
    <row r="45" spans="1:11" ht="12.75">
      <c r="A45" s="247" t="s">
        <v>336</v>
      </c>
      <c r="B45" s="248"/>
      <c r="C45" s="248"/>
      <c r="D45" s="248"/>
      <c r="E45" s="248"/>
      <c r="F45" s="248"/>
      <c r="G45" s="248"/>
      <c r="H45" s="249"/>
      <c r="I45" s="1">
        <v>37</v>
      </c>
      <c r="J45" s="53">
        <f>IF(J38&gt;J44,J38-J44,0)</f>
        <v>251309321</v>
      </c>
      <c r="K45" s="53">
        <f>IF(K38&gt;K44,K38-K44,0)</f>
        <v>0</v>
      </c>
    </row>
    <row r="46" spans="1:11" ht="12.75">
      <c r="A46" s="247" t="s">
        <v>337</v>
      </c>
      <c r="B46" s="248"/>
      <c r="C46" s="248"/>
      <c r="D46" s="248"/>
      <c r="E46" s="248"/>
      <c r="F46" s="248"/>
      <c r="G46" s="248"/>
      <c r="H46" s="249"/>
      <c r="I46" s="1">
        <v>38</v>
      </c>
      <c r="J46" s="53">
        <f>IF(J44&gt;J38,J44-J38,0)</f>
        <v>0</v>
      </c>
      <c r="K46" s="53">
        <f>IF(K44&gt;K38,K44-K38,0)</f>
        <v>29163454</v>
      </c>
    </row>
    <row r="47" spans="1:12" ht="12.75">
      <c r="A47" s="214" t="s">
        <v>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53">
        <v>0</v>
      </c>
      <c r="K47" s="53">
        <f>IF(K19-K20+K32-K33+K45-K46&gt;0,K19-K20+K32-K33+K45-K46,0)</f>
        <v>17997507</v>
      </c>
      <c r="L47" s="127"/>
    </row>
    <row r="48" spans="1:12" ht="12.75">
      <c r="A48" s="214" t="s">
        <v>62</v>
      </c>
      <c r="B48" s="215"/>
      <c r="C48" s="215"/>
      <c r="D48" s="215"/>
      <c r="E48" s="215"/>
      <c r="F48" s="215"/>
      <c r="G48" s="215"/>
      <c r="H48" s="215"/>
      <c r="I48" s="1">
        <v>40</v>
      </c>
      <c r="J48" s="53">
        <f>IF(J20-J19+J33-J32+J46-J45&gt;0,J20-J19+J33-J32+J46-J45,0)</f>
        <v>24239108</v>
      </c>
      <c r="K48" s="53">
        <f>IF(K20-K19+K33-K32+K46-K45&gt;0,K20-K19+K33-K32+K46-K45,0)</f>
        <v>0</v>
      </c>
      <c r="L48" s="127"/>
    </row>
    <row r="49" spans="1:11" ht="12.75">
      <c r="A49" s="214" t="s">
        <v>151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166188610</v>
      </c>
      <c r="K49" s="7">
        <v>301797080</v>
      </c>
    </row>
    <row r="50" spans="1:11" ht="12.75">
      <c r="A50" s="214" t="s">
        <v>165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/>
      <c r="K50" s="7">
        <f>+K47-K48</f>
        <v>17997507</v>
      </c>
    </row>
    <row r="51" spans="1:13" ht="12.75">
      <c r="A51" s="214" t="s">
        <v>166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>
        <f>+J48-J47</f>
        <v>24239108</v>
      </c>
      <c r="K51" s="7"/>
      <c r="M51" s="127"/>
    </row>
    <row r="52" spans="1:11" ht="12.75">
      <c r="A52" s="236" t="s">
        <v>167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1">
        <f>J49+J50-J51</f>
        <v>141949502</v>
      </c>
      <c r="K52" s="61">
        <f>K49+K50-K51</f>
        <v>319794587</v>
      </c>
    </row>
    <row r="54" ht="12.75">
      <c r="K54" s="129"/>
    </row>
    <row r="55" ht="12.75">
      <c r="K55" s="129"/>
    </row>
    <row r="56" ht="12.75">
      <c r="K56" s="13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65536 J36:J65536 J1:J34 K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185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324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2.5">
      <c r="A4" s="269" t="s">
        <v>50</v>
      </c>
      <c r="B4" s="269"/>
      <c r="C4" s="269"/>
      <c r="D4" s="269"/>
      <c r="E4" s="269"/>
      <c r="F4" s="269"/>
      <c r="G4" s="269"/>
      <c r="H4" s="269"/>
      <c r="I4" s="66" t="s">
        <v>265</v>
      </c>
      <c r="J4" s="67" t="s">
        <v>304</v>
      </c>
      <c r="K4" s="67" t="s">
        <v>305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269</v>
      </c>
      <c r="K5" s="73" t="s">
        <v>270</v>
      </c>
    </row>
    <row r="6" spans="1:11" ht="12.75">
      <c r="A6" s="220" t="s">
        <v>146</v>
      </c>
      <c r="B6" s="231"/>
      <c r="C6" s="231"/>
      <c r="D6" s="231"/>
      <c r="E6" s="231"/>
      <c r="F6" s="231"/>
      <c r="G6" s="231"/>
      <c r="H6" s="231"/>
      <c r="I6" s="271"/>
      <c r="J6" s="271"/>
      <c r="K6" s="272"/>
    </row>
    <row r="7" spans="1:11" ht="12.75">
      <c r="A7" s="214" t="s">
        <v>187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110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111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113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186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114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115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116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117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118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119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99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100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149</v>
      </c>
      <c r="B22" s="231"/>
      <c r="C22" s="231"/>
      <c r="D22" s="231"/>
      <c r="E22" s="231"/>
      <c r="F22" s="231"/>
      <c r="G22" s="231"/>
      <c r="H22" s="231"/>
      <c r="I22" s="271"/>
      <c r="J22" s="271"/>
      <c r="K22" s="272"/>
    </row>
    <row r="23" spans="1:11" ht="12.75">
      <c r="A23" s="214" t="s">
        <v>155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156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306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307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157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105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39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101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102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150</v>
      </c>
      <c r="B35" s="231"/>
      <c r="C35" s="231"/>
      <c r="D35" s="231"/>
      <c r="E35" s="231"/>
      <c r="F35" s="231"/>
      <c r="G35" s="231"/>
      <c r="H35" s="231"/>
      <c r="I35" s="271">
        <v>0</v>
      </c>
      <c r="J35" s="271"/>
      <c r="K35" s="272"/>
    </row>
    <row r="36" spans="1:11" ht="12.75">
      <c r="A36" s="214" t="s">
        <v>164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26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40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27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28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29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30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31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139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152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153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140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13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151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165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166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167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86" t="s">
        <v>267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">
      <c r="A2" s="42"/>
      <c r="B2" s="74"/>
      <c r="C2" s="296" t="s">
        <v>268</v>
      </c>
      <c r="D2" s="296"/>
      <c r="E2" s="131" t="s">
        <v>339</v>
      </c>
      <c r="F2" s="43" t="s">
        <v>236</v>
      </c>
      <c r="G2" s="297" t="s">
        <v>340</v>
      </c>
      <c r="H2" s="298"/>
      <c r="I2" s="74"/>
      <c r="J2" s="74"/>
      <c r="K2" s="74"/>
      <c r="L2" s="77"/>
    </row>
    <row r="3" spans="1:11" ht="22.5">
      <c r="A3" s="299" t="s">
        <v>50</v>
      </c>
      <c r="B3" s="299"/>
      <c r="C3" s="299"/>
      <c r="D3" s="299"/>
      <c r="E3" s="299"/>
      <c r="F3" s="299"/>
      <c r="G3" s="299"/>
      <c r="H3" s="299"/>
      <c r="I3" s="80" t="s">
        <v>291</v>
      </c>
      <c r="J3" s="81" t="s">
        <v>141</v>
      </c>
      <c r="K3" s="81" t="s">
        <v>142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3">
        <v>2</v>
      </c>
      <c r="J4" s="82" t="s">
        <v>269</v>
      </c>
      <c r="K4" s="82" t="s">
        <v>270</v>
      </c>
    </row>
    <row r="5" spans="1:11" ht="12.75">
      <c r="A5" s="288" t="s">
        <v>271</v>
      </c>
      <c r="B5" s="289"/>
      <c r="C5" s="289"/>
      <c r="D5" s="289"/>
      <c r="E5" s="289"/>
      <c r="F5" s="289"/>
      <c r="G5" s="289"/>
      <c r="H5" s="289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88" t="s">
        <v>272</v>
      </c>
      <c r="B6" s="289"/>
      <c r="C6" s="289"/>
      <c r="D6" s="289"/>
      <c r="E6" s="289"/>
      <c r="F6" s="289"/>
      <c r="G6" s="289"/>
      <c r="H6" s="289"/>
      <c r="I6" s="44">
        <v>2</v>
      </c>
      <c r="J6" s="7">
        <f>+Bilanca!J71</f>
        <v>109139</v>
      </c>
      <c r="K6" s="7">
        <f>+Bilanca!K71</f>
        <v>3573938</v>
      </c>
    </row>
    <row r="7" spans="1:11" ht="12.75">
      <c r="A7" s="288" t="s">
        <v>273</v>
      </c>
      <c r="B7" s="289"/>
      <c r="C7" s="289"/>
      <c r="D7" s="289"/>
      <c r="E7" s="289"/>
      <c r="F7" s="289"/>
      <c r="G7" s="289"/>
      <c r="H7" s="289"/>
      <c r="I7" s="44">
        <v>3</v>
      </c>
      <c r="J7" s="7">
        <f>+Bilanca!J72</f>
        <v>67203861</v>
      </c>
      <c r="K7" s="7">
        <f>+Bilanca!K72</f>
        <v>89884244</v>
      </c>
    </row>
    <row r="8" spans="1:11" ht="12.75">
      <c r="A8" s="288" t="s">
        <v>274</v>
      </c>
      <c r="B8" s="289"/>
      <c r="C8" s="289"/>
      <c r="D8" s="289"/>
      <c r="E8" s="289"/>
      <c r="F8" s="289"/>
      <c r="G8" s="289"/>
      <c r="H8" s="289"/>
      <c r="I8" s="44">
        <v>4</v>
      </c>
      <c r="J8" s="7">
        <f>+Bilanca!J79</f>
        <v>211961240</v>
      </c>
      <c r="K8" s="7">
        <f>+Bilanca!K79</f>
        <v>226506669</v>
      </c>
    </row>
    <row r="9" spans="1:11" ht="12.75">
      <c r="A9" s="288" t="s">
        <v>275</v>
      </c>
      <c r="B9" s="289"/>
      <c r="C9" s="289"/>
      <c r="D9" s="289"/>
      <c r="E9" s="289"/>
      <c r="F9" s="289"/>
      <c r="G9" s="289"/>
      <c r="H9" s="289"/>
      <c r="I9" s="44">
        <v>5</v>
      </c>
      <c r="J9" s="7">
        <f>+Bilanca!J82</f>
        <v>105854201</v>
      </c>
      <c r="K9" s="7">
        <f>+Bilanca!K82</f>
        <v>1590576</v>
      </c>
    </row>
    <row r="10" spans="1:11" ht="12.75">
      <c r="A10" s="288" t="s">
        <v>276</v>
      </c>
      <c r="B10" s="289"/>
      <c r="C10" s="289"/>
      <c r="D10" s="289"/>
      <c r="E10" s="289"/>
      <c r="F10" s="289"/>
      <c r="G10" s="289"/>
      <c r="H10" s="289"/>
      <c r="I10" s="44">
        <v>6</v>
      </c>
      <c r="J10" s="7"/>
      <c r="K10" s="46"/>
    </row>
    <row r="11" spans="1:11" ht="12.75">
      <c r="A11" s="288" t="s">
        <v>277</v>
      </c>
      <c r="B11" s="289"/>
      <c r="C11" s="289"/>
      <c r="D11" s="289"/>
      <c r="E11" s="289"/>
      <c r="F11" s="289"/>
      <c r="G11" s="289"/>
      <c r="H11" s="289"/>
      <c r="I11" s="44">
        <v>7</v>
      </c>
      <c r="J11" s="7"/>
      <c r="K11" s="46"/>
    </row>
    <row r="12" spans="1:12" ht="12.75">
      <c r="A12" s="288" t="s">
        <v>278</v>
      </c>
      <c r="B12" s="289"/>
      <c r="C12" s="289"/>
      <c r="D12" s="289"/>
      <c r="E12" s="289"/>
      <c r="F12" s="289"/>
      <c r="G12" s="289"/>
      <c r="H12" s="289"/>
      <c r="I12" s="44">
        <v>8</v>
      </c>
      <c r="J12" s="7">
        <f>+Bilanca!J78</f>
        <v>31431842</v>
      </c>
      <c r="K12" s="7">
        <f>+Bilanca!K78</f>
        <v>120668</v>
      </c>
      <c r="L12" s="126"/>
    </row>
    <row r="13" spans="1:11" ht="12.75">
      <c r="A13" s="288" t="s">
        <v>279</v>
      </c>
      <c r="B13" s="289"/>
      <c r="C13" s="289"/>
      <c r="D13" s="289"/>
      <c r="E13" s="289"/>
      <c r="F13" s="289"/>
      <c r="G13" s="289"/>
      <c r="H13" s="289"/>
      <c r="I13" s="44">
        <v>9</v>
      </c>
      <c r="J13" s="7"/>
      <c r="K13" s="46"/>
    </row>
    <row r="14" spans="1:11" ht="12.75">
      <c r="A14" s="290" t="s">
        <v>280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8">
        <f>SUM(J5:J13)</f>
        <v>2088581493</v>
      </c>
      <c r="K14" s="53">
        <f>SUM(K5:K13)</f>
        <v>1993697305</v>
      </c>
    </row>
    <row r="15" spans="1:11" ht="12.75">
      <c r="A15" s="288" t="s">
        <v>281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282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283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284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285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286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287</v>
      </c>
      <c r="B21" s="291"/>
      <c r="C21" s="291"/>
      <c r="D21" s="291"/>
      <c r="E21" s="291"/>
      <c r="F21" s="291"/>
      <c r="G21" s="291"/>
      <c r="H21" s="291"/>
      <c r="I21" s="44">
        <v>17</v>
      </c>
      <c r="J21" s="79"/>
      <c r="K21" s="79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288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289</v>
      </c>
      <c r="B24" s="283"/>
      <c r="C24" s="283"/>
      <c r="D24" s="283"/>
      <c r="E24" s="283"/>
      <c r="F24" s="283"/>
      <c r="G24" s="283"/>
      <c r="H24" s="283"/>
      <c r="I24" s="48">
        <v>19</v>
      </c>
      <c r="J24" s="79"/>
      <c r="K24" s="79"/>
    </row>
    <row r="25" spans="1:11" ht="30" customHeight="1">
      <c r="A25" s="284" t="s">
        <v>290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1" t="s">
        <v>266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301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2016-02-12T16:04:07Z</cp:lastPrinted>
  <dcterms:created xsi:type="dcterms:W3CDTF">2008-10-17T11:51:54Z</dcterms:created>
  <dcterms:modified xsi:type="dcterms:W3CDTF">2016-07-18T14:29:05Z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