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1282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<sst xmlns="http://schemas.openxmlformats.org/spreadsheetml/2006/main" count="398" uniqueCount="345">
  <si>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</si>
  <si>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</si>
  <si>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</si>
  <si>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</si>
  <si>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</si>
  <si>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</si>
  <si>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</si>
  <si>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</si>
  <si>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</si>
  <si>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</si>
  <si>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</si>
  <si>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</si>
  <si>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</si>
  <si>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</si>
  <si>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</si>
  <si>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</si>
  <si>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</si>
  <si>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</si>
  <si>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</si>
  <si>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</si>
  <si>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</si>
  <si>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</si>
  <si>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</si>
  <si>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</si>
  <si>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</si>
  <si>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</si>
  <si>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</si>
  <si>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</si>
  <si>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</si>
  <si>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</si>
  <si>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</si>
  <si>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</si>
  <si>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</si>
  <si>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</si>
  <si>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</si>
  <si>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</si>
  <si>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</si>
  <si>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</si>
  <si>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</si>
  <si>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</si>
  <si>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</si>
  <si>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</si>
  <si>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</si>
  <si>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</si>
  <si>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</si>
  <si>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</si>
  <si>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</si>
  <si>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</si>
  <si>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</si>
  <si>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</si>
  <si>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</si>
  <si>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</si>
  <si>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</si>
  <si>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</si>
  <si>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</si>
  <si>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</si>
  <si>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</si>
  <si>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</si>
  <si>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</si>
  <si>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</si>
  <si>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</si>
  <si>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</si>
  <si>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</si>
  <si>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</si>
  <si>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</si>
  <si>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</si>
  <si>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</si>
  <si>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</si>
  <si>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</si>
  <si>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</si>
  <si>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</si>
  <si>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</si>
  <si>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</si>
  <si>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</si>
  <si>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</si>
  <si>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</si>
  <si>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</si>
  <si>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</si>
  <si>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</si>
  <si>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</si>
  <si>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</si>
  <si>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</si>
  <si>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</si>
  <si>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</si>
  <si>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</si>
  <si>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</si>
  <si>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</si>
  <si>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</si>
  <si>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</si>
  <si>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</si>
  <si>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</si>
  <si>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</si>
  <si>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</si>
  <si>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</si>
  <si>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</si>
  <si>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</si>
  <si>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</si>
  <si>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</si>
  <si>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</si>
  <si>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</si>
  <si>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</si>
  <si>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</si>
  <si>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</si>
  <si>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</si>
  <si>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</si>
  <si>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</si>
  <si>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</si>
  <si>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</si>
  <si>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</si>
  <si>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</si>
  <si>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</si>
  <si>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</si>
  <si>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</si>
  <si>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</si>
  <si>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</si>
  <si>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</si>
  <si>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</si>
  <si>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</si>
  <si>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</si>
  <si>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</si>
  <si>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</si>
  <si>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</si>
  <si>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</si>
  <si>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</si>
  <si>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</si>
  <si>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</si>
  <si>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</si>
  <si>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</si>
  <si>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</si>
  <si>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</si>
  <si>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</si>
  <si>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</si>
  <si>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</si>
  <si>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</si>
  <si>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</si>
  <si>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</si>
  <si>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</si>
  <si>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</si>
  <si>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</si>
  <si>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</si>
  <si>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</si>
  <si>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</si>
  <si>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</si>
  <si>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</si>
  <si>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</si>
  <si>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</si>
  <si>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</si>
  <si>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</si>
  <si>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</si>
  <si>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</si>
  <si>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</si>
  <si>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</si>
  <si>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</si>
  <si>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</si>
  <si>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</si>
  <si>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</si>
  <si>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</si>
  <si>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</si>
  <si>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</si>
  <si>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</si>
  <si>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</si>
  <si>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</si>
  <si>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</si>
  <si>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</si>
  <si>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</si>
  <si>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</si>
  <si>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</si>
  <si>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</si>
  <si>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</si>
  <si>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</si>
  <si>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</si>
  <si>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</si>
  <si>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</si>
  <si>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</si>
  <si>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</si>
  <si>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</si>
  <si>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</si>
  <si>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</si>
  <si>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</si>
  <si>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</si>
  <si>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</si>
  <si>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</si>
  <si>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</si>
  <si>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</si>
  <si>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</si>
  <si>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</si>
  <si>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</si>
  <si>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</si>
  <si>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</si>
  <si>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</si>
  <si>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</si>
  <si>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</si>
  <si>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</si>
  <si>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</si>
  <si>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</si>
  <si>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</si>
  <si>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</si>
  <si>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</si>
  <si>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</si>
  <si>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</si>
  <si>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</si>
  <si>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</si>
  <si>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</si>
  <si>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</si>
  <si>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</si>
  <si>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</si>
  <si>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</si>
  <si>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</si>
  <si>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</si>
  <si>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</si>
  <si>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</si>
  <si>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</si>
  <si>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</si>
  <si>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</si>
  <si>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</si>
  <si>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</si>
  <si>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</si>
  <si>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</si>
  <si>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</si>
  <si>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</si>
  <si>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</si>
  <si>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</si>
  <si>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</si>
  <si>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</si>
  <si>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</si>
  <si>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</si>
  <si>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</si>
  <si>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</si>
  <si>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</si>
  <si>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</si>
  <si>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</si>
  <si>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</si>
  <si>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</si>
  <si>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</si>
  <si>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</si>
  <si>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</si>
  <si>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</si>
  <si>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</si>
  <si>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</si>
  <si>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</si>
  <si>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</si>
  <si>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</si>
  <si>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</si>
  <si>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</si>
  <si>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</si>
  <si>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</si>
  <si>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</si>
  <si>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</si>
  <si>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</si>
  <si>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</si>
  <si>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</si>
  <si>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</si>
  <si>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</si>
  <si>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</si>
  <si>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</si>
  <si>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</si>
  <si>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</si>
  <si>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</si>
  <si>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</si>
  <si>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</si>
  <si>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</si>
  <si>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</si>
  <si>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</si>
  <si>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</si>
  <si>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</si>
  <si>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</si>
  <si>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</si>
  <si>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</si>
  <si>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</si>
  <si>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</si>
  <si>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</si>
  <si>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</si>
  <si>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</si>
  <si>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</si>
  <si>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</si>
  <si>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</si>
  <si>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</si>
  <si>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</si>
  <si>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</si>
  <si>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</si>
  <si>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</si>
  <si>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</si>
  <si>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</si>
  <si>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</si>
  <si>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</si>
  <si>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</si>
  <si>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</si>
  <si>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</si>
  <si>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</si>
  <si>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</si>
  <si>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</si>
  <si>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</si>
  <si>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</si>
  <si>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</si>
  <si>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</si>
  <si>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</si>
  <si>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</si>
  <si>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</si>
  <si>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</si>
  <si>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</si>
  <si>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</si>
  <si>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</si>
  <si>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</si>
  <si>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</si>
  <si>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</si>
  <si>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</si>
  <si>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</si>
  <si>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</si>
  <si>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</si>
  <si>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</si>
  <si>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</si>
  <si>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</si>
  <si>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</si>
  <si>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</si>
  <si>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</si>
  <si>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</si>
  <si>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</si>
  <si>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</si>
  <si>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</si>
  <si>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</si>
  <si>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</si>
  <si>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</si>
  <si>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</si>
  <si>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</si>
  <si>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</si>
  <si>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</si>
  <si>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</si>
  <si>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</si>
  <si>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</si>
  <si>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</si>
  <si>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</si>
  <si>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</si>
  <si>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</si>
  <si>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1.1.2018.</t>
  </si>
  <si>
    <t>30.09.2018.</t>
  </si>
  <si>
    <t>stanje na dan 30.09.2018.</t>
  </si>
  <si>
    <t>u razdoblju 1.1.2018. do 30.09.2018.</t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</si>
  <si>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</si>
  <si>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</si>
  <si>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t>I. DOBIT ILI GUBITAK RAZDOBLJA (=152)</t>
  </si>
  <si>
    <t>Ukupno povećanje novčanog tijeka (013-014+025-026+037-038)</t>
  </si>
  <si>
    <t>Ukupno smanjenje novčanog tijeka (014-013+026-025+038-037)</t>
  </si>
  <si>
    <t>AOP
oznaka</t>
  </si>
  <si>
    <t>01.01.2018.</t>
  </si>
  <si>
    <t>Povećanje novca i novčanih ekvivalenata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</si>
</sst>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  <font>
      <i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57" fillId="0" borderId="0" xfId="0" applyNumberFormat="1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58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59" fillId="0" borderId="0" xfId="64" applyFont="1" applyFill="1" applyAlignment="1">
      <alignment wrapText="1"/>
      <protection/>
    </xf>
    <xf numFmtId="0" fontId="59" fillId="0" borderId="0" xfId="64" applyFont="1" applyFill="1" applyBorder="1" applyAlignment="1">
      <alignment wrapText="1"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14" xfId="59" applyNumberFormat="1" applyFont="1" applyFill="1" applyBorder="1">
      <alignment/>
      <protection/>
    </xf>
    <xf numFmtId="3" fontId="1" fillId="0" borderId="10" xfId="59" applyNumberFormat="1" applyFont="1" applyFill="1" applyBorder="1">
      <alignment/>
      <protection/>
    </xf>
    <xf numFmtId="3" fontId="0" fillId="0" borderId="10" xfId="59" applyNumberFormat="1" applyBorder="1">
      <alignment/>
      <protection/>
    </xf>
    <xf numFmtId="3" fontId="1" fillId="0" borderId="0" xfId="59" applyNumberFormat="1" applyFont="1" applyFill="1">
      <alignment/>
      <protection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29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58" applyNumberFormat="1" applyFont="1" applyFill="1" applyBorder="1" applyAlignment="1" applyProtection="1">
      <alignment vertical="center"/>
      <protection locked="0"/>
    </xf>
    <xf numFmtId="3" fontId="1" fillId="0" borderId="14" xfId="58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34" borderId="0" xfId="59" applyNumberFormat="1" applyFont="1" applyFill="1">
      <alignment/>
      <protection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7" fillId="0" borderId="0" xfId="64" applyFont="1" applyBorder="1" applyAlignment="1" applyProtection="1">
      <alignment horizontal="left"/>
      <protection hidden="1"/>
    </xf>
    <xf numFmtId="0" fontId="18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28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rmalno 2" xfId="58"/>
    <cellStyle name="Normalno 3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4" t="s">
        <v>229</v>
      </c>
      <c r="B1" s="155"/>
      <c r="C1" s="155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192" t="s">
        <v>230</v>
      </c>
      <c r="B2" s="193"/>
      <c r="C2" s="193"/>
      <c r="D2" s="194"/>
      <c r="E2" s="101" t="s">
        <v>333</v>
      </c>
      <c r="F2" s="11"/>
      <c r="G2" s="12" t="s">
        <v>231</v>
      </c>
      <c r="H2" s="101" t="s">
        <v>334</v>
      </c>
      <c r="I2" s="68"/>
      <c r="J2" s="9"/>
      <c r="K2" s="9"/>
      <c r="L2" s="9"/>
    </row>
    <row r="3" spans="1:12" ht="12.75">
      <c r="A3" s="69"/>
      <c r="B3" s="13"/>
      <c r="C3" s="13"/>
      <c r="D3" s="13"/>
      <c r="E3" s="14"/>
      <c r="F3" s="14"/>
      <c r="G3" s="13"/>
      <c r="H3" s="13"/>
      <c r="I3" s="70"/>
      <c r="J3" s="9"/>
      <c r="K3" s="9"/>
      <c r="L3" s="9"/>
    </row>
    <row r="4" spans="1:12" ht="15">
      <c r="A4" s="195" t="s">
        <v>296</v>
      </c>
      <c r="B4" s="196"/>
      <c r="C4" s="196"/>
      <c r="D4" s="196"/>
      <c r="E4" s="196"/>
      <c r="F4" s="196"/>
      <c r="G4" s="196"/>
      <c r="H4" s="196"/>
      <c r="I4" s="197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45" t="s">
        <v>232</v>
      </c>
      <c r="B6" s="146"/>
      <c r="C6" s="160" t="s">
        <v>303</v>
      </c>
      <c r="D6" s="161"/>
      <c r="E6" s="28"/>
      <c r="F6" s="28"/>
      <c r="G6" s="28"/>
      <c r="H6" s="28"/>
      <c r="I6" s="74"/>
      <c r="J6" s="9"/>
      <c r="K6" s="9"/>
      <c r="L6" s="9"/>
    </row>
    <row r="7" spans="1:12" ht="12.75">
      <c r="A7" s="75"/>
      <c r="B7" s="21"/>
      <c r="C7" s="15"/>
      <c r="D7" s="15"/>
      <c r="E7" s="28"/>
      <c r="F7" s="28"/>
      <c r="G7" s="28"/>
      <c r="H7" s="28"/>
      <c r="I7" s="74"/>
      <c r="J7" s="9"/>
      <c r="K7" s="9"/>
      <c r="L7" s="9"/>
    </row>
    <row r="8" spans="1:12" ht="12.75">
      <c r="A8" s="198" t="s">
        <v>233</v>
      </c>
      <c r="B8" s="199"/>
      <c r="C8" s="160" t="s">
        <v>304</v>
      </c>
      <c r="D8" s="161"/>
      <c r="E8" s="28"/>
      <c r="F8" s="28"/>
      <c r="G8" s="28"/>
      <c r="H8" s="28"/>
      <c r="I8" s="76"/>
      <c r="J8" s="9"/>
      <c r="K8" s="9"/>
      <c r="L8" s="9"/>
    </row>
    <row r="9" spans="1:12" ht="12.75">
      <c r="A9" s="77"/>
      <c r="B9" s="44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>
      <c r="A10" s="140" t="s">
        <v>234</v>
      </c>
      <c r="B10" s="190"/>
      <c r="C10" s="160" t="s">
        <v>305</v>
      </c>
      <c r="D10" s="161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1"/>
      <c r="B11" s="190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45" t="s">
        <v>235</v>
      </c>
      <c r="B12" s="146"/>
      <c r="C12" s="162" t="s">
        <v>316</v>
      </c>
      <c r="D12" s="187"/>
      <c r="E12" s="187"/>
      <c r="F12" s="187"/>
      <c r="G12" s="187"/>
      <c r="H12" s="187"/>
      <c r="I12" s="148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45" t="s">
        <v>236</v>
      </c>
      <c r="B14" s="146"/>
      <c r="C14" s="188">
        <v>52440</v>
      </c>
      <c r="D14" s="189"/>
      <c r="E14" s="15"/>
      <c r="F14" s="162" t="s">
        <v>306</v>
      </c>
      <c r="G14" s="187"/>
      <c r="H14" s="187"/>
      <c r="I14" s="148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45" t="s">
        <v>237</v>
      </c>
      <c r="B16" s="146"/>
      <c r="C16" s="162" t="s">
        <v>307</v>
      </c>
      <c r="D16" s="187"/>
      <c r="E16" s="187"/>
      <c r="F16" s="187"/>
      <c r="G16" s="187"/>
      <c r="H16" s="187"/>
      <c r="I16" s="148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45" t="s">
        <v>238</v>
      </c>
      <c r="B18" s="146"/>
      <c r="C18" s="183" t="s">
        <v>308</v>
      </c>
      <c r="D18" s="184"/>
      <c r="E18" s="184"/>
      <c r="F18" s="184"/>
      <c r="G18" s="184"/>
      <c r="H18" s="184"/>
      <c r="I18" s="185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45" t="s">
        <v>239</v>
      </c>
      <c r="B20" s="146"/>
      <c r="C20" s="183" t="s">
        <v>319</v>
      </c>
      <c r="D20" s="184"/>
      <c r="E20" s="184"/>
      <c r="F20" s="184"/>
      <c r="G20" s="184"/>
      <c r="H20" s="184"/>
      <c r="I20" s="185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45" t="s">
        <v>240</v>
      </c>
      <c r="B22" s="146"/>
      <c r="C22" s="102">
        <v>348</v>
      </c>
      <c r="D22" s="162" t="s">
        <v>306</v>
      </c>
      <c r="E22" s="173"/>
      <c r="F22" s="174"/>
      <c r="G22" s="145"/>
      <c r="H22" s="186"/>
      <c r="I22" s="78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45" t="s">
        <v>241</v>
      </c>
      <c r="B24" s="146"/>
      <c r="C24" s="102">
        <v>18</v>
      </c>
      <c r="D24" s="162" t="s">
        <v>309</v>
      </c>
      <c r="E24" s="173"/>
      <c r="F24" s="173"/>
      <c r="G24" s="174"/>
      <c r="H24" s="45" t="s">
        <v>242</v>
      </c>
      <c r="I24" s="137">
        <v>4984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297</v>
      </c>
      <c r="I25" s="79"/>
      <c r="J25" s="9"/>
      <c r="K25" s="9"/>
      <c r="L25" s="9"/>
    </row>
    <row r="26" spans="1:12" ht="12.75">
      <c r="A26" s="145" t="s">
        <v>243</v>
      </c>
      <c r="B26" s="146"/>
      <c r="C26" s="103" t="s">
        <v>310</v>
      </c>
      <c r="D26" s="24"/>
      <c r="E26" s="32"/>
      <c r="F26" s="23"/>
      <c r="G26" s="175" t="s">
        <v>244</v>
      </c>
      <c r="H26" s="146"/>
      <c r="I26" s="104" t="s">
        <v>311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6" t="s">
        <v>245</v>
      </c>
      <c r="B28" s="177"/>
      <c r="C28" s="178"/>
      <c r="D28" s="178"/>
      <c r="E28" s="179" t="s">
        <v>246</v>
      </c>
      <c r="F28" s="180"/>
      <c r="G28" s="180"/>
      <c r="H28" s="181" t="s">
        <v>247</v>
      </c>
      <c r="I28" s="182"/>
      <c r="J28" s="9"/>
      <c r="K28" s="9"/>
      <c r="L28" s="9"/>
    </row>
    <row r="29" spans="1:12" ht="12.75">
      <c r="A29" s="81"/>
      <c r="B29" s="32"/>
      <c r="C29" s="32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9"/>
      <c r="K30" s="9"/>
      <c r="L30" s="9"/>
    </row>
    <row r="31" spans="1:12" ht="12.75">
      <c r="A31" s="75"/>
      <c r="B31" s="21"/>
      <c r="C31" s="20"/>
      <c r="D31" s="171"/>
      <c r="E31" s="171"/>
      <c r="F31" s="171"/>
      <c r="G31" s="172"/>
      <c r="H31" s="15"/>
      <c r="I31" s="82"/>
      <c r="J31" s="9"/>
      <c r="K31" s="9"/>
      <c r="L31" s="9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9"/>
      <c r="K32" s="9"/>
      <c r="L32" s="9"/>
    </row>
    <row r="33" spans="1:12" ht="12.75">
      <c r="A33" s="75"/>
      <c r="B33" s="21"/>
      <c r="C33" s="20"/>
      <c r="D33" s="27"/>
      <c r="E33" s="27"/>
      <c r="F33" s="27"/>
      <c r="G33" s="28"/>
      <c r="H33" s="15"/>
      <c r="I33" s="83"/>
      <c r="J33" s="9"/>
      <c r="K33" s="9"/>
      <c r="L33" s="9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9"/>
      <c r="K34" s="9"/>
      <c r="L34" s="9"/>
    </row>
    <row r="35" spans="1:12" ht="12.75">
      <c r="A35" s="75"/>
      <c r="B35" s="21"/>
      <c r="C35" s="20"/>
      <c r="D35" s="27"/>
      <c r="E35" s="27"/>
      <c r="F35" s="27"/>
      <c r="G35" s="28"/>
      <c r="H35" s="15"/>
      <c r="I35" s="83"/>
      <c r="J35" s="9"/>
      <c r="K35" s="9"/>
      <c r="L35" s="9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9"/>
      <c r="K36" s="9"/>
      <c r="L36" s="9"/>
    </row>
    <row r="37" spans="1:12" ht="12.75">
      <c r="A37" s="84"/>
      <c r="B37" s="29"/>
      <c r="C37" s="165"/>
      <c r="D37" s="166"/>
      <c r="E37" s="15"/>
      <c r="F37" s="165"/>
      <c r="G37" s="166"/>
      <c r="H37" s="15"/>
      <c r="I37" s="76"/>
      <c r="J37" s="9"/>
      <c r="K37" s="9"/>
      <c r="L37" s="9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9"/>
      <c r="K38" s="9"/>
      <c r="L38" s="9"/>
    </row>
    <row r="39" spans="1:12" ht="12.75">
      <c r="A39" s="84"/>
      <c r="B39" s="29"/>
      <c r="C39" s="30"/>
      <c r="D39" s="31"/>
      <c r="E39" s="15"/>
      <c r="F39" s="30"/>
      <c r="G39" s="31"/>
      <c r="H39" s="15"/>
      <c r="I39" s="76"/>
      <c r="J39" s="9"/>
      <c r="K39" s="9"/>
      <c r="L39" s="9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9"/>
      <c r="K40" s="9"/>
      <c r="L40" s="9"/>
    </row>
    <row r="41" spans="1:12" ht="12.75">
      <c r="A41" s="105"/>
      <c r="B41" s="32"/>
      <c r="C41" s="32"/>
      <c r="D41" s="32"/>
      <c r="E41" s="22"/>
      <c r="F41" s="106"/>
      <c r="G41" s="106"/>
      <c r="H41" s="107"/>
      <c r="I41" s="85"/>
      <c r="J41" s="9"/>
      <c r="K41" s="9"/>
      <c r="L41" s="9"/>
    </row>
    <row r="42" spans="1:12" ht="12.75">
      <c r="A42" s="84"/>
      <c r="B42" s="29"/>
      <c r="C42" s="30"/>
      <c r="D42" s="31"/>
      <c r="E42" s="15"/>
      <c r="F42" s="30"/>
      <c r="G42" s="31"/>
      <c r="H42" s="15"/>
      <c r="I42" s="76"/>
      <c r="J42" s="9"/>
      <c r="K42" s="9"/>
      <c r="L42" s="9"/>
    </row>
    <row r="43" spans="1:12" ht="12.75">
      <c r="A43" s="86"/>
      <c r="B43" s="33"/>
      <c r="C43" s="33"/>
      <c r="D43" s="19"/>
      <c r="E43" s="19"/>
      <c r="F43" s="33"/>
      <c r="G43" s="19"/>
      <c r="H43" s="19"/>
      <c r="I43" s="87"/>
      <c r="J43" s="9"/>
      <c r="K43" s="9"/>
      <c r="L43" s="9"/>
    </row>
    <row r="44" spans="1:12" ht="12.75">
      <c r="A44" s="140" t="s">
        <v>248</v>
      </c>
      <c r="B44" s="141"/>
      <c r="C44" s="160"/>
      <c r="D44" s="161"/>
      <c r="E44" s="25"/>
      <c r="F44" s="162"/>
      <c r="G44" s="163"/>
      <c r="H44" s="163"/>
      <c r="I44" s="164"/>
      <c r="J44" s="9"/>
      <c r="K44" s="9"/>
      <c r="L44" s="9"/>
    </row>
    <row r="45" spans="1:12" ht="12.75">
      <c r="A45" s="84"/>
      <c r="B45" s="29"/>
      <c r="C45" s="165"/>
      <c r="D45" s="166"/>
      <c r="E45" s="15"/>
      <c r="F45" s="165"/>
      <c r="G45" s="167"/>
      <c r="H45" s="34"/>
      <c r="I45" s="88"/>
      <c r="J45" s="9"/>
      <c r="K45" s="9"/>
      <c r="L45" s="9"/>
    </row>
    <row r="46" spans="1:12" ht="12.75">
      <c r="A46" s="140" t="s">
        <v>249</v>
      </c>
      <c r="B46" s="141"/>
      <c r="C46" s="162" t="s">
        <v>312</v>
      </c>
      <c r="D46" s="168"/>
      <c r="E46" s="168"/>
      <c r="F46" s="168"/>
      <c r="G46" s="168"/>
      <c r="H46" s="168"/>
      <c r="I46" s="169"/>
      <c r="J46" s="9"/>
      <c r="K46" s="9"/>
      <c r="L46" s="9"/>
    </row>
    <row r="47" spans="1:12" ht="12.75">
      <c r="A47" s="75"/>
      <c r="B47" s="21"/>
      <c r="C47" s="20" t="s">
        <v>250</v>
      </c>
      <c r="D47" s="15"/>
      <c r="E47" s="15"/>
      <c r="F47" s="15"/>
      <c r="G47" s="15"/>
      <c r="H47" s="15"/>
      <c r="I47" s="76"/>
      <c r="J47" s="9"/>
      <c r="K47" s="9"/>
      <c r="L47" s="9"/>
    </row>
    <row r="48" spans="1:12" ht="12.75">
      <c r="A48" s="140" t="s">
        <v>251</v>
      </c>
      <c r="B48" s="141"/>
      <c r="C48" s="147" t="s">
        <v>313</v>
      </c>
      <c r="D48" s="143"/>
      <c r="E48" s="144"/>
      <c r="F48" s="15"/>
      <c r="G48" s="45" t="s">
        <v>252</v>
      </c>
      <c r="H48" s="147" t="s">
        <v>314</v>
      </c>
      <c r="I48" s="144"/>
      <c r="J48" s="9"/>
      <c r="K48" s="9"/>
      <c r="L48" s="9"/>
    </row>
    <row r="49" spans="1:12" ht="12.75">
      <c r="A49" s="75"/>
      <c r="B49" s="21"/>
      <c r="C49" s="20"/>
      <c r="D49" s="15"/>
      <c r="E49" s="15"/>
      <c r="F49" s="15"/>
      <c r="G49" s="15"/>
      <c r="H49" s="15"/>
      <c r="I49" s="76"/>
      <c r="J49" s="9"/>
      <c r="K49" s="9"/>
      <c r="L49" s="9"/>
    </row>
    <row r="50" spans="1:12" ht="12.75">
      <c r="A50" s="140" t="s">
        <v>238</v>
      </c>
      <c r="B50" s="141"/>
      <c r="C50" s="142" t="s">
        <v>315</v>
      </c>
      <c r="D50" s="143"/>
      <c r="E50" s="143"/>
      <c r="F50" s="143"/>
      <c r="G50" s="143"/>
      <c r="H50" s="143"/>
      <c r="I50" s="144"/>
      <c r="J50" s="9"/>
      <c r="K50" s="9"/>
      <c r="L50" s="9"/>
    </row>
    <row r="51" spans="1:12" ht="12.75">
      <c r="A51" s="75"/>
      <c r="B51" s="21"/>
      <c r="C51" s="15"/>
      <c r="D51" s="15"/>
      <c r="E51" s="15"/>
      <c r="F51" s="15"/>
      <c r="G51" s="15"/>
      <c r="H51" s="15"/>
      <c r="I51" s="76"/>
      <c r="J51" s="9"/>
      <c r="K51" s="9"/>
      <c r="L51" s="9"/>
    </row>
    <row r="52" spans="1:12" ht="12.75">
      <c r="A52" s="145" t="s">
        <v>253</v>
      </c>
      <c r="B52" s="146"/>
      <c r="C52" s="147" t="s">
        <v>332</v>
      </c>
      <c r="D52" s="143"/>
      <c r="E52" s="143"/>
      <c r="F52" s="143"/>
      <c r="G52" s="143"/>
      <c r="H52" s="143"/>
      <c r="I52" s="148"/>
      <c r="J52" s="9"/>
      <c r="K52" s="9"/>
      <c r="L52" s="9"/>
    </row>
    <row r="53" spans="1:12" ht="12.75">
      <c r="A53" s="89"/>
      <c r="B53" s="19"/>
      <c r="C53" s="156" t="s">
        <v>254</v>
      </c>
      <c r="D53" s="156"/>
      <c r="E53" s="156"/>
      <c r="F53" s="156"/>
      <c r="G53" s="156"/>
      <c r="H53" s="156"/>
      <c r="I53" s="90"/>
      <c r="J53" s="9"/>
      <c r="K53" s="9"/>
      <c r="L53" s="9"/>
    </row>
    <row r="54" spans="1:12" ht="12.75">
      <c r="A54" s="89"/>
      <c r="B54" s="19"/>
      <c r="C54" s="35"/>
      <c r="D54" s="35"/>
      <c r="E54" s="35"/>
      <c r="F54" s="35"/>
      <c r="G54" s="35"/>
      <c r="H54" s="35"/>
      <c r="I54" s="90"/>
      <c r="J54" s="9"/>
      <c r="K54" s="9"/>
      <c r="L54" s="9"/>
    </row>
    <row r="55" spans="1:12" ht="12.75">
      <c r="A55" s="89"/>
      <c r="B55" s="149" t="s">
        <v>255</v>
      </c>
      <c r="C55" s="150"/>
      <c r="D55" s="150"/>
      <c r="E55" s="150"/>
      <c r="F55" s="43"/>
      <c r="G55" s="43"/>
      <c r="H55" s="43"/>
      <c r="I55" s="91"/>
      <c r="J55" s="9"/>
      <c r="K55" s="9"/>
      <c r="L55" s="9"/>
    </row>
    <row r="56" spans="1:12" ht="12.75">
      <c r="A56" s="89"/>
      <c r="B56" s="151" t="s">
        <v>322</v>
      </c>
      <c r="C56" s="152"/>
      <c r="D56" s="152"/>
      <c r="E56" s="152"/>
      <c r="F56" s="152"/>
      <c r="G56" s="152"/>
      <c r="H56" s="152"/>
      <c r="I56" s="153"/>
      <c r="J56" s="9"/>
      <c r="K56" s="9"/>
      <c r="L56" s="9"/>
    </row>
    <row r="57" spans="1:12" ht="12.75">
      <c r="A57" s="89"/>
      <c r="B57" s="151" t="s">
        <v>286</v>
      </c>
      <c r="C57" s="152"/>
      <c r="D57" s="152"/>
      <c r="E57" s="152"/>
      <c r="F57" s="152"/>
      <c r="G57" s="152"/>
      <c r="H57" s="152"/>
      <c r="I57" s="91"/>
      <c r="J57" s="9"/>
      <c r="K57" s="9"/>
      <c r="L57" s="9"/>
    </row>
    <row r="58" spans="1:12" ht="12.75">
      <c r="A58" s="89"/>
      <c r="B58" s="151" t="s">
        <v>287</v>
      </c>
      <c r="C58" s="152"/>
      <c r="D58" s="152"/>
      <c r="E58" s="152"/>
      <c r="F58" s="152"/>
      <c r="G58" s="152"/>
      <c r="H58" s="152"/>
      <c r="I58" s="153"/>
      <c r="J58" s="9"/>
      <c r="K58" s="9"/>
      <c r="L58" s="9"/>
    </row>
    <row r="59" spans="1:12" ht="12.75">
      <c r="A59" s="89"/>
      <c r="B59" s="151" t="s">
        <v>288</v>
      </c>
      <c r="C59" s="152"/>
      <c r="D59" s="152"/>
      <c r="E59" s="152"/>
      <c r="F59" s="152"/>
      <c r="G59" s="152"/>
      <c r="H59" s="152"/>
      <c r="I59" s="153"/>
      <c r="J59" s="9"/>
      <c r="K59" s="9"/>
      <c r="L59" s="9"/>
    </row>
    <row r="60" spans="1:12" ht="12.75">
      <c r="A60" s="89"/>
      <c r="B60" s="92"/>
      <c r="C60" s="93"/>
      <c r="D60" s="93"/>
      <c r="E60" s="93"/>
      <c r="F60" s="93"/>
      <c r="G60" s="93"/>
      <c r="H60" s="93"/>
      <c r="I60" s="94"/>
      <c r="J60" s="9"/>
      <c r="K60" s="9"/>
      <c r="L60" s="9"/>
    </row>
    <row r="61" spans="1:12" ht="13.5" thickBot="1">
      <c r="A61" s="95" t="s">
        <v>256</v>
      </c>
      <c r="B61" s="15"/>
      <c r="C61" s="15"/>
      <c r="D61" s="15"/>
      <c r="E61" s="15"/>
      <c r="F61" s="15"/>
      <c r="G61" s="36"/>
      <c r="H61" s="37"/>
      <c r="I61" s="96"/>
      <c r="J61" s="9"/>
      <c r="K61" s="9"/>
      <c r="L61" s="9"/>
    </row>
    <row r="62" spans="1:12" ht="12.75">
      <c r="A62" s="71"/>
      <c r="B62" s="15"/>
      <c r="C62" s="15"/>
      <c r="D62" s="15"/>
      <c r="E62" s="19" t="s">
        <v>257</v>
      </c>
      <c r="F62" s="32"/>
      <c r="G62" s="157" t="s">
        <v>258</v>
      </c>
      <c r="H62" s="158"/>
      <c r="I62" s="159"/>
      <c r="J62" s="9"/>
      <c r="K62" s="9"/>
      <c r="L62" s="9"/>
    </row>
    <row r="63" spans="1:12" ht="12.75">
      <c r="A63" s="97"/>
      <c r="B63" s="98"/>
      <c r="C63" s="99"/>
      <c r="D63" s="99"/>
      <c r="E63" s="99"/>
      <c r="F63" s="99"/>
      <c r="G63" s="138"/>
      <c r="H63" s="139"/>
      <c r="I63" s="100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tabSelected="1" view="pageBreakPreview" zoomScaleSheetLayoutView="100" zoomScalePageLayoutView="0" workbookViewId="0" topLeftCell="A88">
      <selection activeCell="K83" sqref="K83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1.140625" style="46" customWidth="1"/>
    <col min="12" max="12" width="12.7109375" style="46" bestFit="1" customWidth="1"/>
    <col min="13" max="16384" width="9.140625" style="46" customWidth="1"/>
  </cols>
  <sheetData>
    <row r="1" spans="1:11" ht="12.75" customHeight="1">
      <c r="A1" s="210" t="s">
        <v>142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317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50</v>
      </c>
      <c r="B4" s="216"/>
      <c r="C4" s="216"/>
      <c r="D4" s="216"/>
      <c r="E4" s="216"/>
      <c r="F4" s="216"/>
      <c r="G4" s="216"/>
      <c r="H4" s="217"/>
      <c r="I4" s="52" t="s">
        <v>259</v>
      </c>
      <c r="J4" s="53" t="s">
        <v>298</v>
      </c>
      <c r="K4" s="54" t="s">
        <v>299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1">
        <v>2</v>
      </c>
      <c r="J5" s="50">
        <v>3</v>
      </c>
      <c r="K5" s="50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51</v>
      </c>
      <c r="B7" s="205"/>
      <c r="C7" s="205"/>
      <c r="D7" s="205"/>
      <c r="E7" s="205"/>
      <c r="F7" s="205"/>
      <c r="G7" s="205"/>
      <c r="H7" s="206"/>
      <c r="I7" s="3">
        <v>1</v>
      </c>
      <c r="J7" s="5"/>
      <c r="K7" s="5"/>
    </row>
    <row r="8" spans="1:11" ht="12.75">
      <c r="A8" s="207" t="s">
        <v>11</v>
      </c>
      <c r="B8" s="208"/>
      <c r="C8" s="208"/>
      <c r="D8" s="208"/>
      <c r="E8" s="208"/>
      <c r="F8" s="208"/>
      <c r="G8" s="208"/>
      <c r="H8" s="209"/>
      <c r="I8" s="1">
        <v>2</v>
      </c>
      <c r="J8" s="47">
        <f>J9+J16+J26+J35+J39</f>
        <v>4321068373</v>
      </c>
      <c r="K8" s="47">
        <f>K9+K16+K26+K35+K39</f>
        <v>4736218499</v>
      </c>
    </row>
    <row r="9" spans="1:11" ht="12.75">
      <c r="A9" s="218" t="s">
        <v>190</v>
      </c>
      <c r="B9" s="219"/>
      <c r="C9" s="219"/>
      <c r="D9" s="219"/>
      <c r="E9" s="219"/>
      <c r="F9" s="219"/>
      <c r="G9" s="219"/>
      <c r="H9" s="220"/>
      <c r="I9" s="1">
        <v>3</v>
      </c>
      <c r="J9" s="47">
        <f>J10+J11+J12+J13+J14+J15</f>
        <v>44533715</v>
      </c>
      <c r="K9" s="47">
        <f>K10+K11+K12+K13+K14+K15</f>
        <v>51907806</v>
      </c>
    </row>
    <row r="10" spans="1:11" ht="12.75">
      <c r="A10" s="218" t="s">
        <v>101</v>
      </c>
      <c r="B10" s="219"/>
      <c r="C10" s="219"/>
      <c r="D10" s="219"/>
      <c r="E10" s="219"/>
      <c r="F10" s="219"/>
      <c r="G10" s="219"/>
      <c r="H10" s="220"/>
      <c r="I10" s="1">
        <v>4</v>
      </c>
      <c r="J10" s="6"/>
      <c r="K10" s="6"/>
    </row>
    <row r="11" spans="1:11" ht="12.75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6">
        <v>37646206</v>
      </c>
      <c r="K11" s="6">
        <v>36796098</v>
      </c>
    </row>
    <row r="12" spans="1:11" ht="12.75">
      <c r="A12" s="218" t="s">
        <v>102</v>
      </c>
      <c r="B12" s="219"/>
      <c r="C12" s="219"/>
      <c r="D12" s="219"/>
      <c r="E12" s="219"/>
      <c r="F12" s="219"/>
      <c r="G12" s="219"/>
      <c r="H12" s="220"/>
      <c r="I12" s="1">
        <v>6</v>
      </c>
      <c r="J12" s="6">
        <v>6567609</v>
      </c>
      <c r="K12" s="6">
        <v>6567609</v>
      </c>
    </row>
    <row r="13" spans="1:11" ht="12.75">
      <c r="A13" s="218" t="s">
        <v>193</v>
      </c>
      <c r="B13" s="219"/>
      <c r="C13" s="219"/>
      <c r="D13" s="219"/>
      <c r="E13" s="219"/>
      <c r="F13" s="219"/>
      <c r="G13" s="219"/>
      <c r="H13" s="220"/>
      <c r="I13" s="1">
        <v>7</v>
      </c>
      <c r="J13" s="6"/>
      <c r="K13" s="6"/>
    </row>
    <row r="14" spans="1:11" ht="12.75">
      <c r="A14" s="218" t="s">
        <v>194</v>
      </c>
      <c r="B14" s="219"/>
      <c r="C14" s="219"/>
      <c r="D14" s="219"/>
      <c r="E14" s="219"/>
      <c r="F14" s="219"/>
      <c r="G14" s="219"/>
      <c r="H14" s="220"/>
      <c r="I14" s="1">
        <v>8</v>
      </c>
      <c r="J14" s="6">
        <v>319900</v>
      </c>
      <c r="K14" s="6">
        <v>8544099</v>
      </c>
    </row>
    <row r="15" spans="1:11" ht="12.75">
      <c r="A15" s="218" t="s">
        <v>195</v>
      </c>
      <c r="B15" s="219"/>
      <c r="C15" s="219"/>
      <c r="D15" s="219"/>
      <c r="E15" s="219"/>
      <c r="F15" s="219"/>
      <c r="G15" s="219"/>
      <c r="H15" s="220"/>
      <c r="I15" s="1">
        <v>9</v>
      </c>
      <c r="J15" s="6"/>
      <c r="K15" s="6"/>
    </row>
    <row r="16" spans="1:11" ht="12.75">
      <c r="A16" s="218" t="s">
        <v>191</v>
      </c>
      <c r="B16" s="219"/>
      <c r="C16" s="219"/>
      <c r="D16" s="219"/>
      <c r="E16" s="219"/>
      <c r="F16" s="219"/>
      <c r="G16" s="219"/>
      <c r="H16" s="220"/>
      <c r="I16" s="1">
        <v>10</v>
      </c>
      <c r="J16" s="47">
        <f>J17+J18+J19+J20+J21+J22+J23+J24+J25</f>
        <v>3697439264</v>
      </c>
      <c r="K16" s="47">
        <f>K17+K18+K19+K20+K21+K22+K23+K24+K25</f>
        <v>3947640070</v>
      </c>
    </row>
    <row r="17" spans="1:11" ht="12.75">
      <c r="A17" s="218" t="s">
        <v>196</v>
      </c>
      <c r="B17" s="219"/>
      <c r="C17" s="219"/>
      <c r="D17" s="219"/>
      <c r="E17" s="219"/>
      <c r="F17" s="219"/>
      <c r="G17" s="219"/>
      <c r="H17" s="220"/>
      <c r="I17" s="1">
        <v>11</v>
      </c>
      <c r="J17" s="6">
        <v>633926337</v>
      </c>
      <c r="K17" s="6">
        <v>645344932</v>
      </c>
    </row>
    <row r="18" spans="1:11" ht="12.75">
      <c r="A18" s="218" t="s">
        <v>228</v>
      </c>
      <c r="B18" s="219"/>
      <c r="C18" s="219"/>
      <c r="D18" s="219"/>
      <c r="E18" s="219"/>
      <c r="F18" s="219"/>
      <c r="G18" s="219"/>
      <c r="H18" s="220"/>
      <c r="I18" s="1">
        <v>12</v>
      </c>
      <c r="J18" s="6">
        <v>2416617894</v>
      </c>
      <c r="K18" s="6">
        <v>2314833014</v>
      </c>
    </row>
    <row r="19" spans="1:11" ht="12.75">
      <c r="A19" s="218" t="s">
        <v>197</v>
      </c>
      <c r="B19" s="219"/>
      <c r="C19" s="219"/>
      <c r="D19" s="219"/>
      <c r="E19" s="219"/>
      <c r="F19" s="219"/>
      <c r="G19" s="219"/>
      <c r="H19" s="220"/>
      <c r="I19" s="1">
        <v>13</v>
      </c>
      <c r="J19" s="6">
        <v>345844344</v>
      </c>
      <c r="K19" s="6">
        <v>351055256</v>
      </c>
    </row>
    <row r="20" spans="1:11" ht="12.75">
      <c r="A20" s="218" t="s">
        <v>23</v>
      </c>
      <c r="B20" s="219"/>
      <c r="C20" s="219"/>
      <c r="D20" s="219"/>
      <c r="E20" s="219"/>
      <c r="F20" s="219"/>
      <c r="G20" s="219"/>
      <c r="H20" s="220"/>
      <c r="I20" s="1">
        <v>14</v>
      </c>
      <c r="J20" s="6">
        <v>89672494</v>
      </c>
      <c r="K20" s="6">
        <v>121077319</v>
      </c>
    </row>
    <row r="21" spans="1:11" ht="12.75">
      <c r="A21" s="218" t="s">
        <v>24</v>
      </c>
      <c r="B21" s="219"/>
      <c r="C21" s="219"/>
      <c r="D21" s="219"/>
      <c r="E21" s="219"/>
      <c r="F21" s="219"/>
      <c r="G21" s="219"/>
      <c r="H21" s="220"/>
      <c r="I21" s="1">
        <v>15</v>
      </c>
      <c r="J21" s="6"/>
      <c r="K21" s="6"/>
    </row>
    <row r="22" spans="1:11" ht="12.75">
      <c r="A22" s="218" t="s">
        <v>61</v>
      </c>
      <c r="B22" s="219"/>
      <c r="C22" s="219"/>
      <c r="D22" s="219"/>
      <c r="E22" s="219"/>
      <c r="F22" s="219"/>
      <c r="G22" s="219"/>
      <c r="H22" s="220"/>
      <c r="I22" s="1">
        <v>16</v>
      </c>
      <c r="J22" s="6">
        <v>23166558</v>
      </c>
      <c r="K22" s="6">
        <v>26465334</v>
      </c>
    </row>
    <row r="23" spans="1:11" ht="12.75">
      <c r="A23" s="218" t="s">
        <v>62</v>
      </c>
      <c r="B23" s="219"/>
      <c r="C23" s="219"/>
      <c r="D23" s="219"/>
      <c r="E23" s="219"/>
      <c r="F23" s="219"/>
      <c r="G23" s="219"/>
      <c r="H23" s="220"/>
      <c r="I23" s="1">
        <v>17</v>
      </c>
      <c r="J23" s="6">
        <v>137209673</v>
      </c>
      <c r="K23" s="6">
        <v>442542761</v>
      </c>
    </row>
    <row r="24" spans="1:11" ht="12.75">
      <c r="A24" s="218" t="s">
        <v>63</v>
      </c>
      <c r="B24" s="219"/>
      <c r="C24" s="219"/>
      <c r="D24" s="219"/>
      <c r="E24" s="219"/>
      <c r="F24" s="219"/>
      <c r="G24" s="219"/>
      <c r="H24" s="220"/>
      <c r="I24" s="1">
        <v>18</v>
      </c>
      <c r="J24" s="6">
        <v>40747606</v>
      </c>
      <c r="K24" s="6">
        <v>36527509</v>
      </c>
    </row>
    <row r="25" spans="1:11" ht="12.75">
      <c r="A25" s="218" t="s">
        <v>64</v>
      </c>
      <c r="B25" s="219"/>
      <c r="C25" s="219"/>
      <c r="D25" s="219"/>
      <c r="E25" s="219"/>
      <c r="F25" s="219"/>
      <c r="G25" s="219"/>
      <c r="H25" s="220"/>
      <c r="I25" s="1">
        <v>19</v>
      </c>
      <c r="J25" s="6">
        <v>10254358</v>
      </c>
      <c r="K25" s="6">
        <v>9793945</v>
      </c>
    </row>
    <row r="26" spans="1:11" ht="12.75">
      <c r="A26" s="218" t="s">
        <v>177</v>
      </c>
      <c r="B26" s="219"/>
      <c r="C26" s="219"/>
      <c r="D26" s="219"/>
      <c r="E26" s="219"/>
      <c r="F26" s="219"/>
      <c r="G26" s="219"/>
      <c r="H26" s="220"/>
      <c r="I26" s="1">
        <v>20</v>
      </c>
      <c r="J26" s="47">
        <f>J27+J28+J29+J30+J31+J32+J33+J34</f>
        <v>456347314</v>
      </c>
      <c r="K26" s="47">
        <f>K27+K28+K29+K30+K31+K32+K33+K34</f>
        <v>613957081</v>
      </c>
    </row>
    <row r="27" spans="1:11" ht="12.75">
      <c r="A27" s="218" t="s">
        <v>65</v>
      </c>
      <c r="B27" s="219"/>
      <c r="C27" s="219"/>
      <c r="D27" s="219"/>
      <c r="E27" s="219"/>
      <c r="F27" s="219"/>
      <c r="G27" s="219"/>
      <c r="H27" s="220"/>
      <c r="I27" s="1">
        <v>21</v>
      </c>
      <c r="J27" s="6">
        <v>452395427</v>
      </c>
      <c r="K27" s="6">
        <v>609924170</v>
      </c>
    </row>
    <row r="28" spans="1:11" ht="12.75">
      <c r="A28" s="218" t="s">
        <v>66</v>
      </c>
      <c r="B28" s="219"/>
      <c r="C28" s="219"/>
      <c r="D28" s="219"/>
      <c r="E28" s="219"/>
      <c r="F28" s="219"/>
      <c r="G28" s="219"/>
      <c r="H28" s="220"/>
      <c r="I28" s="1">
        <v>22</v>
      </c>
      <c r="J28" s="6"/>
      <c r="K28" s="6"/>
    </row>
    <row r="29" spans="1:11" ht="12.75">
      <c r="A29" s="218" t="s">
        <v>67</v>
      </c>
      <c r="B29" s="219"/>
      <c r="C29" s="219"/>
      <c r="D29" s="219"/>
      <c r="E29" s="219"/>
      <c r="F29" s="219"/>
      <c r="G29" s="219"/>
      <c r="H29" s="220"/>
      <c r="I29" s="1">
        <v>23</v>
      </c>
      <c r="J29" s="6">
        <v>140000</v>
      </c>
      <c r="K29" s="6">
        <v>140000</v>
      </c>
    </row>
    <row r="30" spans="1:11" ht="12.75">
      <c r="A30" s="218" t="s">
        <v>72</v>
      </c>
      <c r="B30" s="219"/>
      <c r="C30" s="219"/>
      <c r="D30" s="219"/>
      <c r="E30" s="219"/>
      <c r="F30" s="219"/>
      <c r="G30" s="219"/>
      <c r="H30" s="220"/>
      <c r="I30" s="1">
        <v>24</v>
      </c>
      <c r="J30" s="6"/>
      <c r="K30" s="6"/>
    </row>
    <row r="31" spans="1:11" ht="12.75">
      <c r="A31" s="218" t="s">
        <v>73</v>
      </c>
      <c r="B31" s="219"/>
      <c r="C31" s="219"/>
      <c r="D31" s="219"/>
      <c r="E31" s="219"/>
      <c r="F31" s="219"/>
      <c r="G31" s="219"/>
      <c r="H31" s="220"/>
      <c r="I31" s="1">
        <v>25</v>
      </c>
      <c r="J31" s="6">
        <v>3620830</v>
      </c>
      <c r="K31" s="6">
        <v>3786258</v>
      </c>
    </row>
    <row r="32" spans="1:11" ht="12.75">
      <c r="A32" s="218" t="s">
        <v>74</v>
      </c>
      <c r="B32" s="219"/>
      <c r="C32" s="219"/>
      <c r="D32" s="219"/>
      <c r="E32" s="219"/>
      <c r="F32" s="219"/>
      <c r="G32" s="219"/>
      <c r="H32" s="220"/>
      <c r="I32" s="1">
        <v>26</v>
      </c>
      <c r="J32" s="6">
        <v>191057</v>
      </c>
      <c r="K32" s="6">
        <v>106653</v>
      </c>
    </row>
    <row r="33" spans="1:11" ht="12.75">
      <c r="A33" s="218" t="s">
        <v>68</v>
      </c>
      <c r="B33" s="219"/>
      <c r="C33" s="219"/>
      <c r="D33" s="219"/>
      <c r="E33" s="219"/>
      <c r="F33" s="219"/>
      <c r="G33" s="219"/>
      <c r="H33" s="220"/>
      <c r="I33" s="1">
        <v>27</v>
      </c>
      <c r="J33" s="6"/>
      <c r="K33" s="6"/>
    </row>
    <row r="34" spans="1:11" ht="12.75">
      <c r="A34" s="218" t="s">
        <v>302</v>
      </c>
      <c r="B34" s="219"/>
      <c r="C34" s="219"/>
      <c r="D34" s="219"/>
      <c r="E34" s="219"/>
      <c r="F34" s="219"/>
      <c r="G34" s="219"/>
      <c r="H34" s="220"/>
      <c r="I34" s="1">
        <v>28</v>
      </c>
      <c r="J34" s="6"/>
      <c r="K34" s="6"/>
    </row>
    <row r="35" spans="1:11" ht="12.75">
      <c r="A35" s="218" t="s">
        <v>171</v>
      </c>
      <c r="B35" s="219"/>
      <c r="C35" s="219"/>
      <c r="D35" s="219"/>
      <c r="E35" s="219"/>
      <c r="F35" s="219"/>
      <c r="G35" s="219"/>
      <c r="H35" s="220"/>
      <c r="I35" s="1">
        <v>29</v>
      </c>
      <c r="J35" s="47">
        <f>J36+J37+J38</f>
        <v>188176</v>
      </c>
      <c r="K35" s="47">
        <f>K36+K37+K38</f>
        <v>153638</v>
      </c>
    </row>
    <row r="36" spans="1:11" ht="12.75">
      <c r="A36" s="218" t="s">
        <v>69</v>
      </c>
      <c r="B36" s="219"/>
      <c r="C36" s="219"/>
      <c r="D36" s="219"/>
      <c r="E36" s="219"/>
      <c r="F36" s="219"/>
      <c r="G36" s="219"/>
      <c r="H36" s="220"/>
      <c r="I36" s="1">
        <v>30</v>
      </c>
      <c r="J36" s="6"/>
      <c r="K36" s="6"/>
    </row>
    <row r="37" spans="1:11" ht="12.75">
      <c r="A37" s="218" t="s">
        <v>70</v>
      </c>
      <c r="B37" s="219"/>
      <c r="C37" s="219"/>
      <c r="D37" s="219"/>
      <c r="E37" s="219"/>
      <c r="F37" s="219"/>
      <c r="G37" s="219"/>
      <c r="H37" s="220"/>
      <c r="I37" s="1">
        <v>31</v>
      </c>
      <c r="J37" s="6"/>
      <c r="K37" s="6"/>
    </row>
    <row r="38" spans="1:11" ht="12.75">
      <c r="A38" s="218" t="s">
        <v>71</v>
      </c>
      <c r="B38" s="219"/>
      <c r="C38" s="219"/>
      <c r="D38" s="219"/>
      <c r="E38" s="219"/>
      <c r="F38" s="219"/>
      <c r="G38" s="219"/>
      <c r="H38" s="220"/>
      <c r="I38" s="1">
        <v>32</v>
      </c>
      <c r="J38" s="6">
        <v>188176</v>
      </c>
      <c r="K38" s="6">
        <v>153638</v>
      </c>
    </row>
    <row r="39" spans="1:12" ht="12.75">
      <c r="A39" s="218" t="s">
        <v>172</v>
      </c>
      <c r="B39" s="219"/>
      <c r="C39" s="219"/>
      <c r="D39" s="219"/>
      <c r="E39" s="219"/>
      <c r="F39" s="219"/>
      <c r="G39" s="219"/>
      <c r="H39" s="220"/>
      <c r="I39" s="1">
        <v>33</v>
      </c>
      <c r="J39" s="6">
        <v>122559904</v>
      </c>
      <c r="K39" s="6">
        <v>122559904</v>
      </c>
      <c r="L39" s="108"/>
    </row>
    <row r="40" spans="1:11" ht="12.75">
      <c r="A40" s="207" t="s">
        <v>221</v>
      </c>
      <c r="B40" s="208"/>
      <c r="C40" s="208"/>
      <c r="D40" s="208"/>
      <c r="E40" s="208"/>
      <c r="F40" s="208"/>
      <c r="G40" s="208"/>
      <c r="H40" s="209"/>
      <c r="I40" s="1">
        <v>34</v>
      </c>
      <c r="J40" s="47">
        <f>J41+J49+J56+J64</f>
        <v>291552583</v>
      </c>
      <c r="K40" s="47">
        <f>K41+K49+K56+K64</f>
        <v>483608713</v>
      </c>
    </row>
    <row r="41" spans="1:11" ht="12.75">
      <c r="A41" s="218" t="s">
        <v>89</v>
      </c>
      <c r="B41" s="219"/>
      <c r="C41" s="219"/>
      <c r="D41" s="219"/>
      <c r="E41" s="219"/>
      <c r="F41" s="219"/>
      <c r="G41" s="219"/>
      <c r="H41" s="220"/>
      <c r="I41" s="1">
        <v>35</v>
      </c>
      <c r="J41" s="47">
        <f>J42+J43+J44+J45+J46+J47+J48</f>
        <v>23913513</v>
      </c>
      <c r="K41" s="47">
        <f>K42+K43+K44+K45+K46+K47+K48</f>
        <v>19959841</v>
      </c>
    </row>
    <row r="42" spans="1:11" ht="12.75">
      <c r="A42" s="218" t="s">
        <v>106</v>
      </c>
      <c r="B42" s="219"/>
      <c r="C42" s="219"/>
      <c r="D42" s="219"/>
      <c r="E42" s="219"/>
      <c r="F42" s="219"/>
      <c r="G42" s="219"/>
      <c r="H42" s="220"/>
      <c r="I42" s="1">
        <v>36</v>
      </c>
      <c r="J42" s="6">
        <v>23767779</v>
      </c>
      <c r="K42" s="6">
        <v>19468392</v>
      </c>
    </row>
    <row r="43" spans="1:11" ht="12.75">
      <c r="A43" s="218" t="s">
        <v>107</v>
      </c>
      <c r="B43" s="219"/>
      <c r="C43" s="219"/>
      <c r="D43" s="219"/>
      <c r="E43" s="219"/>
      <c r="F43" s="219"/>
      <c r="G43" s="219"/>
      <c r="H43" s="220"/>
      <c r="I43" s="1">
        <v>37</v>
      </c>
      <c r="J43" s="6"/>
      <c r="K43" s="6"/>
    </row>
    <row r="44" spans="1:11" ht="12.75">
      <c r="A44" s="218" t="s">
        <v>75</v>
      </c>
      <c r="B44" s="219"/>
      <c r="C44" s="219"/>
      <c r="D44" s="219"/>
      <c r="E44" s="219"/>
      <c r="F44" s="219"/>
      <c r="G44" s="219"/>
      <c r="H44" s="220"/>
      <c r="I44" s="1">
        <v>38</v>
      </c>
      <c r="J44" s="6"/>
      <c r="K44" s="6"/>
    </row>
    <row r="45" spans="1:11" ht="12.75">
      <c r="A45" s="218" t="s">
        <v>76</v>
      </c>
      <c r="B45" s="219"/>
      <c r="C45" s="219"/>
      <c r="D45" s="219"/>
      <c r="E45" s="219"/>
      <c r="F45" s="219"/>
      <c r="G45" s="219"/>
      <c r="H45" s="220"/>
      <c r="I45" s="1">
        <v>39</v>
      </c>
      <c r="J45" s="6">
        <v>145734</v>
      </c>
      <c r="K45" s="6">
        <v>491449</v>
      </c>
    </row>
    <row r="46" spans="1:11" ht="12.75">
      <c r="A46" s="218" t="s">
        <v>77</v>
      </c>
      <c r="B46" s="219"/>
      <c r="C46" s="219"/>
      <c r="D46" s="219"/>
      <c r="E46" s="219"/>
      <c r="F46" s="219"/>
      <c r="G46" s="219"/>
      <c r="H46" s="220"/>
      <c r="I46" s="1">
        <v>40</v>
      </c>
      <c r="J46" s="6"/>
      <c r="K46" s="6"/>
    </row>
    <row r="47" spans="1:11" ht="12.75">
      <c r="A47" s="218" t="s">
        <v>78</v>
      </c>
      <c r="B47" s="219"/>
      <c r="C47" s="219"/>
      <c r="D47" s="219"/>
      <c r="E47" s="219"/>
      <c r="F47" s="219"/>
      <c r="G47" s="219"/>
      <c r="H47" s="220"/>
      <c r="I47" s="1">
        <v>41</v>
      </c>
      <c r="J47" s="6"/>
      <c r="K47" s="6"/>
    </row>
    <row r="48" spans="1:11" ht="12.75">
      <c r="A48" s="218" t="s">
        <v>79</v>
      </c>
      <c r="B48" s="219"/>
      <c r="C48" s="219"/>
      <c r="D48" s="219"/>
      <c r="E48" s="219"/>
      <c r="F48" s="219"/>
      <c r="G48" s="219"/>
      <c r="H48" s="220"/>
      <c r="I48" s="1">
        <v>42</v>
      </c>
      <c r="J48" s="6"/>
      <c r="K48" s="6"/>
    </row>
    <row r="49" spans="1:11" ht="12.75">
      <c r="A49" s="218" t="s">
        <v>90</v>
      </c>
      <c r="B49" s="219"/>
      <c r="C49" s="219"/>
      <c r="D49" s="219"/>
      <c r="E49" s="219"/>
      <c r="F49" s="219"/>
      <c r="G49" s="219"/>
      <c r="H49" s="220"/>
      <c r="I49" s="1">
        <v>43</v>
      </c>
      <c r="J49" s="47">
        <f>J50+J51+J52+J53+J54+J55</f>
        <v>29405487</v>
      </c>
      <c r="K49" s="47">
        <f>K50+K51+K52+K53+K54+K55</f>
        <v>120587015</v>
      </c>
    </row>
    <row r="50" spans="1:11" ht="12.75">
      <c r="A50" s="218" t="s">
        <v>186</v>
      </c>
      <c r="B50" s="219"/>
      <c r="C50" s="219"/>
      <c r="D50" s="219"/>
      <c r="E50" s="219"/>
      <c r="F50" s="219"/>
      <c r="G50" s="219"/>
      <c r="H50" s="220"/>
      <c r="I50" s="1">
        <v>44</v>
      </c>
      <c r="J50" s="6">
        <v>3392515</v>
      </c>
      <c r="K50" s="6">
        <v>2426619</v>
      </c>
    </row>
    <row r="51" spans="1:11" ht="12.75">
      <c r="A51" s="218" t="s">
        <v>187</v>
      </c>
      <c r="B51" s="219"/>
      <c r="C51" s="219"/>
      <c r="D51" s="219"/>
      <c r="E51" s="219"/>
      <c r="F51" s="219"/>
      <c r="G51" s="219"/>
      <c r="H51" s="220"/>
      <c r="I51" s="1">
        <v>45</v>
      </c>
      <c r="J51" s="6">
        <v>12221884</v>
      </c>
      <c r="K51" s="6">
        <v>109365503</v>
      </c>
    </row>
    <row r="52" spans="1:11" ht="12.75">
      <c r="A52" s="218" t="s">
        <v>188</v>
      </c>
      <c r="B52" s="219"/>
      <c r="C52" s="219"/>
      <c r="D52" s="219"/>
      <c r="E52" s="219"/>
      <c r="F52" s="219"/>
      <c r="G52" s="219"/>
      <c r="H52" s="220"/>
      <c r="I52" s="1">
        <v>46</v>
      </c>
      <c r="J52" s="6"/>
      <c r="K52" s="6"/>
    </row>
    <row r="53" spans="1:11" ht="12.75">
      <c r="A53" s="218" t="s">
        <v>189</v>
      </c>
      <c r="B53" s="219"/>
      <c r="C53" s="219"/>
      <c r="D53" s="219"/>
      <c r="E53" s="219"/>
      <c r="F53" s="219"/>
      <c r="G53" s="219"/>
      <c r="H53" s="220"/>
      <c r="I53" s="1">
        <v>47</v>
      </c>
      <c r="J53" s="6">
        <v>1171905</v>
      </c>
      <c r="K53" s="6">
        <v>4815269</v>
      </c>
    </row>
    <row r="54" spans="1:11" ht="12.75">
      <c r="A54" s="218" t="s">
        <v>8</v>
      </c>
      <c r="B54" s="219"/>
      <c r="C54" s="219"/>
      <c r="D54" s="219"/>
      <c r="E54" s="219"/>
      <c r="F54" s="219"/>
      <c r="G54" s="219"/>
      <c r="H54" s="220"/>
      <c r="I54" s="1">
        <v>48</v>
      </c>
      <c r="J54" s="6">
        <v>10812531</v>
      </c>
      <c r="K54" s="6">
        <v>342078</v>
      </c>
    </row>
    <row r="55" spans="1:11" ht="12.75">
      <c r="A55" s="218" t="s">
        <v>9</v>
      </c>
      <c r="B55" s="219"/>
      <c r="C55" s="219"/>
      <c r="D55" s="219"/>
      <c r="E55" s="219"/>
      <c r="F55" s="219"/>
      <c r="G55" s="219"/>
      <c r="H55" s="220"/>
      <c r="I55" s="1">
        <v>49</v>
      </c>
      <c r="J55" s="6">
        <v>1806652</v>
      </c>
      <c r="K55" s="6">
        <v>3637546</v>
      </c>
    </row>
    <row r="56" spans="1:11" ht="12.75">
      <c r="A56" s="218" t="s">
        <v>91</v>
      </c>
      <c r="B56" s="219"/>
      <c r="C56" s="219"/>
      <c r="D56" s="219"/>
      <c r="E56" s="219"/>
      <c r="F56" s="219"/>
      <c r="G56" s="219"/>
      <c r="H56" s="220"/>
      <c r="I56" s="1">
        <v>50</v>
      </c>
      <c r="J56" s="47">
        <f>J57+J58+J59+J60+J61+J62+J63</f>
        <v>832773</v>
      </c>
      <c r="K56" s="47">
        <f>K57+K58+K59+K60+K61+K62+K63</f>
        <v>15938592</v>
      </c>
    </row>
    <row r="57" spans="1:11" ht="12.75">
      <c r="A57" s="218" t="s">
        <v>65</v>
      </c>
      <c r="B57" s="219"/>
      <c r="C57" s="219"/>
      <c r="D57" s="219"/>
      <c r="E57" s="219"/>
      <c r="F57" s="219"/>
      <c r="G57" s="219"/>
      <c r="H57" s="220"/>
      <c r="I57" s="1">
        <v>51</v>
      </c>
      <c r="J57" s="6"/>
      <c r="K57" s="6"/>
    </row>
    <row r="58" spans="1:11" ht="12.75">
      <c r="A58" s="218" t="s">
        <v>66</v>
      </c>
      <c r="B58" s="219"/>
      <c r="C58" s="219"/>
      <c r="D58" s="219"/>
      <c r="E58" s="219"/>
      <c r="F58" s="219"/>
      <c r="G58" s="219"/>
      <c r="H58" s="220"/>
      <c r="I58" s="1">
        <v>52</v>
      </c>
      <c r="J58" s="6">
        <v>25800</v>
      </c>
      <c r="K58" s="6">
        <v>28300</v>
      </c>
    </row>
    <row r="59" spans="1:11" ht="12.75">
      <c r="A59" s="218" t="s">
        <v>223</v>
      </c>
      <c r="B59" s="219"/>
      <c r="C59" s="219"/>
      <c r="D59" s="219"/>
      <c r="E59" s="219"/>
      <c r="F59" s="219"/>
      <c r="G59" s="219"/>
      <c r="H59" s="220"/>
      <c r="I59" s="1">
        <v>53</v>
      </c>
      <c r="J59" s="6"/>
      <c r="K59" s="6"/>
    </row>
    <row r="60" spans="1:11" ht="12.75">
      <c r="A60" s="218" t="s">
        <v>72</v>
      </c>
      <c r="B60" s="219"/>
      <c r="C60" s="219"/>
      <c r="D60" s="219"/>
      <c r="E60" s="219"/>
      <c r="F60" s="219"/>
      <c r="G60" s="219"/>
      <c r="H60" s="220"/>
      <c r="I60" s="1">
        <v>54</v>
      </c>
      <c r="J60" s="6"/>
      <c r="K60" s="6"/>
    </row>
    <row r="61" spans="1:11" ht="12.75">
      <c r="A61" s="218" t="s">
        <v>73</v>
      </c>
      <c r="B61" s="219"/>
      <c r="C61" s="219"/>
      <c r="D61" s="219"/>
      <c r="E61" s="219"/>
      <c r="F61" s="219"/>
      <c r="G61" s="219"/>
      <c r="H61" s="220"/>
      <c r="I61" s="1">
        <v>55</v>
      </c>
      <c r="J61" s="6"/>
      <c r="K61" s="6"/>
    </row>
    <row r="62" spans="1:11" ht="12.75">
      <c r="A62" s="218" t="s">
        <v>74</v>
      </c>
      <c r="B62" s="219"/>
      <c r="C62" s="219"/>
      <c r="D62" s="219"/>
      <c r="E62" s="219"/>
      <c r="F62" s="219"/>
      <c r="G62" s="219"/>
      <c r="H62" s="220"/>
      <c r="I62" s="1">
        <v>56</v>
      </c>
      <c r="J62" s="6">
        <v>702891</v>
      </c>
      <c r="K62" s="6">
        <v>15493919</v>
      </c>
    </row>
    <row r="63" spans="1:11" ht="12.75">
      <c r="A63" s="218" t="s">
        <v>37</v>
      </c>
      <c r="B63" s="219"/>
      <c r="C63" s="219"/>
      <c r="D63" s="219"/>
      <c r="E63" s="219"/>
      <c r="F63" s="219"/>
      <c r="G63" s="219"/>
      <c r="H63" s="220"/>
      <c r="I63" s="1">
        <v>57</v>
      </c>
      <c r="J63" s="6">
        <v>104082</v>
      </c>
      <c r="K63" s="6">
        <v>416373</v>
      </c>
    </row>
    <row r="64" spans="1:11" ht="12.75">
      <c r="A64" s="218" t="s">
        <v>192</v>
      </c>
      <c r="B64" s="219"/>
      <c r="C64" s="219"/>
      <c r="D64" s="219"/>
      <c r="E64" s="219"/>
      <c r="F64" s="219"/>
      <c r="G64" s="219"/>
      <c r="H64" s="220"/>
      <c r="I64" s="1">
        <v>58</v>
      </c>
      <c r="J64" s="6">
        <v>237400810</v>
      </c>
      <c r="K64" s="6">
        <v>327123265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6">
        <v>19416287</v>
      </c>
      <c r="K65" s="6">
        <v>55368373</v>
      </c>
    </row>
    <row r="66" spans="1:11" ht="12.75">
      <c r="A66" s="207" t="s">
        <v>222</v>
      </c>
      <c r="B66" s="208"/>
      <c r="C66" s="208"/>
      <c r="D66" s="208"/>
      <c r="E66" s="208"/>
      <c r="F66" s="208"/>
      <c r="G66" s="208"/>
      <c r="H66" s="209"/>
      <c r="I66" s="1">
        <v>60</v>
      </c>
      <c r="J66" s="47">
        <f>J8+J40+J65</f>
        <v>4632037243</v>
      </c>
      <c r="K66" s="47">
        <f>K8+K40+K65</f>
        <v>5275195585</v>
      </c>
    </row>
    <row r="67" spans="1:11" ht="12.75">
      <c r="A67" s="221" t="s">
        <v>80</v>
      </c>
      <c r="B67" s="222"/>
      <c r="C67" s="222"/>
      <c r="D67" s="222"/>
      <c r="E67" s="222"/>
      <c r="F67" s="222"/>
      <c r="G67" s="222"/>
      <c r="H67" s="223"/>
      <c r="I67" s="4">
        <v>61</v>
      </c>
      <c r="J67" s="7">
        <v>54545066</v>
      </c>
      <c r="K67" s="7">
        <v>54479411</v>
      </c>
    </row>
    <row r="68" spans="1:11" ht="12.75">
      <c r="A68" s="224" t="s">
        <v>49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2" ht="12.75">
      <c r="A69" s="204" t="s">
        <v>178</v>
      </c>
      <c r="B69" s="205"/>
      <c r="C69" s="205"/>
      <c r="D69" s="205"/>
      <c r="E69" s="205"/>
      <c r="F69" s="205"/>
      <c r="G69" s="205"/>
      <c r="H69" s="206"/>
      <c r="I69" s="3">
        <v>62</v>
      </c>
      <c r="J69" s="48">
        <f>J70+J71+J72+J78+J79+J82+J85</f>
        <v>2395468296</v>
      </c>
      <c r="K69" s="48">
        <f>K70+K71+K72+K78+K79+K82+K85</f>
        <v>2773979604</v>
      </c>
      <c r="L69" s="108"/>
    </row>
    <row r="70" spans="1:11" ht="12.75">
      <c r="A70" s="218" t="s">
        <v>130</v>
      </c>
      <c r="B70" s="219"/>
      <c r="C70" s="219"/>
      <c r="D70" s="219"/>
      <c r="E70" s="219"/>
      <c r="F70" s="219"/>
      <c r="G70" s="219"/>
      <c r="H70" s="220"/>
      <c r="I70" s="1">
        <v>63</v>
      </c>
      <c r="J70" s="6">
        <v>1672021210</v>
      </c>
      <c r="K70" s="6">
        <v>1672021210</v>
      </c>
    </row>
    <row r="71" spans="1:12" ht="12.75">
      <c r="A71" s="218" t="s">
        <v>131</v>
      </c>
      <c r="B71" s="219"/>
      <c r="C71" s="219"/>
      <c r="D71" s="219"/>
      <c r="E71" s="219"/>
      <c r="F71" s="219"/>
      <c r="G71" s="219"/>
      <c r="H71" s="220"/>
      <c r="I71" s="1">
        <v>64</v>
      </c>
      <c r="J71" s="6">
        <v>3602906</v>
      </c>
      <c r="K71" s="6">
        <v>5302235</v>
      </c>
      <c r="L71" s="108"/>
    </row>
    <row r="72" spans="1:12" ht="12.75">
      <c r="A72" s="218" t="s">
        <v>132</v>
      </c>
      <c r="B72" s="219"/>
      <c r="C72" s="219"/>
      <c r="D72" s="219"/>
      <c r="E72" s="219"/>
      <c r="F72" s="219"/>
      <c r="G72" s="219"/>
      <c r="H72" s="220"/>
      <c r="I72" s="1">
        <v>65</v>
      </c>
      <c r="J72" s="47">
        <f>+J73+J74-J75+J76+J77</f>
        <v>102055847</v>
      </c>
      <c r="K72" s="47">
        <f>+K73+K74-K75+K76+K77</f>
        <v>98943075</v>
      </c>
      <c r="L72" s="108"/>
    </row>
    <row r="73" spans="1:12" ht="12.75">
      <c r="A73" s="218" t="s">
        <v>133</v>
      </c>
      <c r="B73" s="219"/>
      <c r="C73" s="219"/>
      <c r="D73" s="219"/>
      <c r="E73" s="219"/>
      <c r="F73" s="219"/>
      <c r="G73" s="219"/>
      <c r="H73" s="220"/>
      <c r="I73" s="1">
        <v>66</v>
      </c>
      <c r="J73" s="6">
        <v>83601061</v>
      </c>
      <c r="K73" s="6">
        <v>83601061</v>
      </c>
      <c r="L73" s="108"/>
    </row>
    <row r="74" spans="1:11" ht="12.75">
      <c r="A74" s="218" t="s">
        <v>134</v>
      </c>
      <c r="B74" s="219"/>
      <c r="C74" s="219"/>
      <c r="D74" s="219"/>
      <c r="E74" s="219"/>
      <c r="F74" s="219"/>
      <c r="G74" s="219"/>
      <c r="H74" s="220"/>
      <c r="I74" s="1">
        <v>67</v>
      </c>
      <c r="J74" s="6">
        <v>44815284</v>
      </c>
      <c r="K74" s="6">
        <v>56815284</v>
      </c>
    </row>
    <row r="75" spans="1:12" ht="12.75">
      <c r="A75" s="218" t="s">
        <v>122</v>
      </c>
      <c r="B75" s="219"/>
      <c r="C75" s="219"/>
      <c r="D75" s="219"/>
      <c r="E75" s="219"/>
      <c r="F75" s="219"/>
      <c r="G75" s="219"/>
      <c r="H75" s="220"/>
      <c r="I75" s="1">
        <v>68</v>
      </c>
      <c r="J75" s="6">
        <v>35889621</v>
      </c>
      <c r="K75" s="6">
        <v>51002393</v>
      </c>
      <c r="L75" s="108"/>
    </row>
    <row r="76" spans="1:11" ht="12.75">
      <c r="A76" s="218" t="s">
        <v>123</v>
      </c>
      <c r="B76" s="219"/>
      <c r="C76" s="219"/>
      <c r="D76" s="219"/>
      <c r="E76" s="219"/>
      <c r="F76" s="219"/>
      <c r="G76" s="219"/>
      <c r="H76" s="220"/>
      <c r="I76" s="1">
        <v>69</v>
      </c>
      <c r="J76" s="6"/>
      <c r="K76" s="6"/>
    </row>
    <row r="77" spans="1:12" ht="12.75">
      <c r="A77" s="218" t="s">
        <v>124</v>
      </c>
      <c r="B77" s="219"/>
      <c r="C77" s="219"/>
      <c r="D77" s="219"/>
      <c r="E77" s="219"/>
      <c r="F77" s="219"/>
      <c r="G77" s="219"/>
      <c r="H77" s="220"/>
      <c r="I77" s="1">
        <v>70</v>
      </c>
      <c r="J77" s="6">
        <v>9529123</v>
      </c>
      <c r="K77" s="6">
        <v>9529123</v>
      </c>
      <c r="L77" s="108"/>
    </row>
    <row r="78" spans="1:12" ht="12.75">
      <c r="A78" s="218" t="s">
        <v>125</v>
      </c>
      <c r="B78" s="219"/>
      <c r="C78" s="219"/>
      <c r="D78" s="219"/>
      <c r="E78" s="219"/>
      <c r="F78" s="219"/>
      <c r="G78" s="219"/>
      <c r="H78" s="220"/>
      <c r="I78" s="1">
        <v>71</v>
      </c>
      <c r="J78" s="6">
        <v>634097</v>
      </c>
      <c r="K78" s="6">
        <v>766439</v>
      </c>
      <c r="L78" s="108"/>
    </row>
    <row r="79" spans="1:11" ht="12.75">
      <c r="A79" s="218" t="s">
        <v>219</v>
      </c>
      <c r="B79" s="219"/>
      <c r="C79" s="219"/>
      <c r="D79" s="219"/>
      <c r="E79" s="219"/>
      <c r="F79" s="219"/>
      <c r="G79" s="219"/>
      <c r="H79" s="220"/>
      <c r="I79" s="1">
        <v>72</v>
      </c>
      <c r="J79" s="47">
        <f>+J80-J81</f>
        <v>385175162</v>
      </c>
      <c r="K79" s="47">
        <f>+K80-K81</f>
        <v>493424087</v>
      </c>
    </row>
    <row r="80" spans="1:12" ht="12.75">
      <c r="A80" s="227" t="s">
        <v>157</v>
      </c>
      <c r="B80" s="228"/>
      <c r="C80" s="228"/>
      <c r="D80" s="228"/>
      <c r="E80" s="228"/>
      <c r="F80" s="228"/>
      <c r="G80" s="228"/>
      <c r="H80" s="229"/>
      <c r="I80" s="1">
        <v>73</v>
      </c>
      <c r="J80" s="6">
        <v>385175162</v>
      </c>
      <c r="K80" s="6">
        <v>493424087</v>
      </c>
      <c r="L80" s="108"/>
    </row>
    <row r="81" spans="1:12" ht="12.75">
      <c r="A81" s="227" t="s">
        <v>158</v>
      </c>
      <c r="B81" s="228"/>
      <c r="C81" s="228"/>
      <c r="D81" s="228"/>
      <c r="E81" s="228"/>
      <c r="F81" s="228"/>
      <c r="G81" s="228"/>
      <c r="H81" s="229"/>
      <c r="I81" s="1">
        <v>74</v>
      </c>
      <c r="J81" s="6"/>
      <c r="K81" s="111"/>
      <c r="L81" s="108"/>
    </row>
    <row r="82" spans="1:12" ht="12.75">
      <c r="A82" s="218" t="s">
        <v>220</v>
      </c>
      <c r="B82" s="219"/>
      <c r="C82" s="219"/>
      <c r="D82" s="219"/>
      <c r="E82" s="219"/>
      <c r="F82" s="219"/>
      <c r="G82" s="219"/>
      <c r="H82" s="220"/>
      <c r="I82" s="1">
        <v>75</v>
      </c>
      <c r="J82" s="47">
        <f>+J83-J84</f>
        <v>231979074</v>
      </c>
      <c r="K82" s="47">
        <f>+K83-K84</f>
        <v>503522558</v>
      </c>
      <c r="L82" s="108"/>
    </row>
    <row r="83" spans="1:11" ht="12.75">
      <c r="A83" s="227" t="s">
        <v>159</v>
      </c>
      <c r="B83" s="228"/>
      <c r="C83" s="228"/>
      <c r="D83" s="228"/>
      <c r="E83" s="228"/>
      <c r="F83" s="228"/>
      <c r="G83" s="228"/>
      <c r="H83" s="229"/>
      <c r="I83" s="1">
        <v>76</v>
      </c>
      <c r="J83" s="112">
        <v>231979074</v>
      </c>
      <c r="K83" s="6">
        <v>503522558</v>
      </c>
    </row>
    <row r="84" spans="1:11" ht="12.75">
      <c r="A84" s="227" t="s">
        <v>160</v>
      </c>
      <c r="B84" s="228"/>
      <c r="C84" s="228"/>
      <c r="D84" s="228"/>
      <c r="E84" s="228"/>
      <c r="F84" s="228"/>
      <c r="G84" s="228"/>
      <c r="H84" s="229"/>
      <c r="I84" s="1">
        <v>77</v>
      </c>
      <c r="J84" s="6"/>
      <c r="K84" s="6"/>
    </row>
    <row r="85" spans="1:11" ht="12.75">
      <c r="A85" s="218" t="s">
        <v>161</v>
      </c>
      <c r="B85" s="219"/>
      <c r="C85" s="219"/>
      <c r="D85" s="219"/>
      <c r="E85" s="219"/>
      <c r="F85" s="219"/>
      <c r="G85" s="219"/>
      <c r="H85" s="220"/>
      <c r="I85" s="1">
        <v>78</v>
      </c>
      <c r="J85" s="6"/>
      <c r="K85" s="6"/>
    </row>
    <row r="86" spans="1:11" ht="12.75">
      <c r="A86" s="207" t="s">
        <v>15</v>
      </c>
      <c r="B86" s="208"/>
      <c r="C86" s="208"/>
      <c r="D86" s="208"/>
      <c r="E86" s="208"/>
      <c r="F86" s="208"/>
      <c r="G86" s="208"/>
      <c r="H86" s="209"/>
      <c r="I86" s="1">
        <v>79</v>
      </c>
      <c r="J86" s="47">
        <f>SUM(J87:J89)</f>
        <v>31597492</v>
      </c>
      <c r="K86" s="47">
        <f>SUM(K87:K89)</f>
        <v>31523068</v>
      </c>
    </row>
    <row r="87" spans="1:11" ht="12.75">
      <c r="A87" s="218" t="s">
        <v>118</v>
      </c>
      <c r="B87" s="219"/>
      <c r="C87" s="219"/>
      <c r="D87" s="219"/>
      <c r="E87" s="219"/>
      <c r="F87" s="219"/>
      <c r="G87" s="219"/>
      <c r="H87" s="220"/>
      <c r="I87" s="1">
        <v>80</v>
      </c>
      <c r="J87" s="6">
        <v>4665359</v>
      </c>
      <c r="K87" s="6">
        <v>4665359</v>
      </c>
    </row>
    <row r="88" spans="1:11" ht="12.75">
      <c r="A88" s="218" t="s">
        <v>119</v>
      </c>
      <c r="B88" s="219"/>
      <c r="C88" s="219"/>
      <c r="D88" s="219"/>
      <c r="E88" s="219"/>
      <c r="F88" s="219"/>
      <c r="G88" s="219"/>
      <c r="H88" s="220"/>
      <c r="I88" s="1">
        <v>81</v>
      </c>
      <c r="J88" s="6"/>
      <c r="K88" s="6"/>
    </row>
    <row r="89" spans="1:12" ht="12.75">
      <c r="A89" s="218" t="s">
        <v>120</v>
      </c>
      <c r="B89" s="219"/>
      <c r="C89" s="219"/>
      <c r="D89" s="219"/>
      <c r="E89" s="219"/>
      <c r="F89" s="219"/>
      <c r="G89" s="219"/>
      <c r="H89" s="220"/>
      <c r="I89" s="1">
        <v>82</v>
      </c>
      <c r="J89" s="6">
        <v>26932133</v>
      </c>
      <c r="K89" s="6">
        <v>26857709</v>
      </c>
      <c r="L89" s="108"/>
    </row>
    <row r="90" spans="1:11" ht="12.75">
      <c r="A90" s="207" t="s">
        <v>16</v>
      </c>
      <c r="B90" s="208"/>
      <c r="C90" s="208"/>
      <c r="D90" s="208"/>
      <c r="E90" s="208"/>
      <c r="F90" s="208"/>
      <c r="G90" s="208"/>
      <c r="H90" s="209"/>
      <c r="I90" s="1">
        <v>83</v>
      </c>
      <c r="J90" s="47">
        <f>J91+J92+J93+J94+J95+J96+J97+J98+J99</f>
        <v>1739431226</v>
      </c>
      <c r="K90" s="47">
        <f>K91+K92+K93+K94+K95+K96+K97+K98+K99</f>
        <v>2063010945</v>
      </c>
    </row>
    <row r="91" spans="1:11" ht="12.75">
      <c r="A91" s="218" t="s">
        <v>121</v>
      </c>
      <c r="B91" s="219"/>
      <c r="C91" s="219"/>
      <c r="D91" s="219"/>
      <c r="E91" s="219"/>
      <c r="F91" s="219"/>
      <c r="G91" s="219"/>
      <c r="H91" s="220"/>
      <c r="I91" s="1">
        <v>84</v>
      </c>
      <c r="J91" s="6"/>
      <c r="K91" s="6"/>
    </row>
    <row r="92" spans="1:11" ht="12.75">
      <c r="A92" s="218" t="s">
        <v>224</v>
      </c>
      <c r="B92" s="219"/>
      <c r="C92" s="219"/>
      <c r="D92" s="219"/>
      <c r="E92" s="219"/>
      <c r="F92" s="219"/>
      <c r="G92" s="219"/>
      <c r="H92" s="220"/>
      <c r="I92" s="1">
        <v>85</v>
      </c>
      <c r="J92" s="6"/>
      <c r="K92" s="6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6">
        <v>1721763614</v>
      </c>
      <c r="K93" s="6">
        <v>2044535181</v>
      </c>
    </row>
    <row r="94" spans="1:11" ht="12.75">
      <c r="A94" s="218" t="s">
        <v>225</v>
      </c>
      <c r="B94" s="219"/>
      <c r="C94" s="219"/>
      <c r="D94" s="219"/>
      <c r="E94" s="219"/>
      <c r="F94" s="219"/>
      <c r="G94" s="219"/>
      <c r="H94" s="220"/>
      <c r="I94" s="1">
        <v>87</v>
      </c>
      <c r="J94" s="6"/>
      <c r="K94" s="6"/>
    </row>
    <row r="95" spans="1:11" ht="12.75">
      <c r="A95" s="218" t="s">
        <v>226</v>
      </c>
      <c r="B95" s="219"/>
      <c r="C95" s="219"/>
      <c r="D95" s="219"/>
      <c r="E95" s="219"/>
      <c r="F95" s="219"/>
      <c r="G95" s="219"/>
      <c r="H95" s="220"/>
      <c r="I95" s="1">
        <v>88</v>
      </c>
      <c r="J95" s="6"/>
      <c r="K95" s="6"/>
    </row>
    <row r="96" spans="1:11" ht="12.75">
      <c r="A96" s="218" t="s">
        <v>227</v>
      </c>
      <c r="B96" s="219"/>
      <c r="C96" s="219"/>
      <c r="D96" s="219"/>
      <c r="E96" s="219"/>
      <c r="F96" s="219"/>
      <c r="G96" s="219"/>
      <c r="H96" s="220"/>
      <c r="I96" s="1">
        <v>89</v>
      </c>
      <c r="J96" s="6"/>
      <c r="K96" s="6"/>
    </row>
    <row r="97" spans="1:11" ht="12.75">
      <c r="A97" s="218" t="s">
        <v>83</v>
      </c>
      <c r="B97" s="219"/>
      <c r="C97" s="219"/>
      <c r="D97" s="219"/>
      <c r="E97" s="219"/>
      <c r="F97" s="219"/>
      <c r="G97" s="219"/>
      <c r="H97" s="220"/>
      <c r="I97" s="1">
        <v>90</v>
      </c>
      <c r="J97" s="6"/>
      <c r="K97" s="6"/>
    </row>
    <row r="98" spans="1:11" ht="12.75">
      <c r="A98" s="218" t="s">
        <v>81</v>
      </c>
      <c r="B98" s="219"/>
      <c r="C98" s="219"/>
      <c r="D98" s="219"/>
      <c r="E98" s="219"/>
      <c r="F98" s="219"/>
      <c r="G98" s="219"/>
      <c r="H98" s="220"/>
      <c r="I98" s="1">
        <v>91</v>
      </c>
      <c r="J98" s="6">
        <v>1585824</v>
      </c>
      <c r="K98" s="6">
        <v>2360890</v>
      </c>
    </row>
    <row r="99" spans="1:11" ht="12.75">
      <c r="A99" s="218" t="s">
        <v>82</v>
      </c>
      <c r="B99" s="219"/>
      <c r="C99" s="219"/>
      <c r="D99" s="219"/>
      <c r="E99" s="219"/>
      <c r="F99" s="219"/>
      <c r="G99" s="219"/>
      <c r="H99" s="220"/>
      <c r="I99" s="1">
        <v>92</v>
      </c>
      <c r="J99" s="6">
        <v>16081788</v>
      </c>
      <c r="K99" s="6">
        <v>16114874</v>
      </c>
    </row>
    <row r="100" spans="1:11" ht="12.75">
      <c r="A100" s="207" t="s">
        <v>17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47">
        <f>J101+J102+J103+J104+J105+J106+J107+J108+J109+J110+J111+J112</f>
        <v>369130888</v>
      </c>
      <c r="K100" s="47">
        <f>K101+K102+K103+K104+K105+K106+K107+K108+K109+K110+K111+K112</f>
        <v>296128151</v>
      </c>
    </row>
    <row r="101" spans="1:11" ht="12.75">
      <c r="A101" s="218" t="s">
        <v>121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6">
        <v>377577</v>
      </c>
      <c r="K101" s="6">
        <v>96698</v>
      </c>
    </row>
    <row r="102" spans="1:11" ht="12.75">
      <c r="A102" s="218" t="s">
        <v>224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6"/>
      <c r="K102" s="6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6">
        <v>184701848</v>
      </c>
      <c r="K103" s="6">
        <v>49499619</v>
      </c>
    </row>
    <row r="104" spans="1:11" ht="12.75">
      <c r="A104" s="218" t="s">
        <v>225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6">
        <v>30708993</v>
      </c>
      <c r="K104" s="6">
        <v>76896055</v>
      </c>
    </row>
    <row r="105" spans="1:11" ht="12.75">
      <c r="A105" s="218" t="s">
        <v>226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6">
        <v>121224757</v>
      </c>
      <c r="K105" s="6">
        <v>91989745</v>
      </c>
    </row>
    <row r="106" spans="1:11" ht="12.75">
      <c r="A106" s="218" t="s">
        <v>227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6"/>
      <c r="K106" s="6"/>
    </row>
    <row r="107" spans="1:11" ht="12.75">
      <c r="A107" s="218" t="s">
        <v>83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6"/>
      <c r="K107" s="6"/>
    </row>
    <row r="108" spans="1:11" ht="12.75">
      <c r="A108" s="218" t="s">
        <v>84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6">
        <v>20606875</v>
      </c>
      <c r="K108" s="6">
        <v>36949339</v>
      </c>
    </row>
    <row r="109" spans="1:11" ht="12.75">
      <c r="A109" s="218" t="s">
        <v>85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6">
        <v>10270639</v>
      </c>
      <c r="K109" s="6">
        <v>37455031</v>
      </c>
    </row>
    <row r="110" spans="1:11" ht="12.75">
      <c r="A110" s="218" t="s">
        <v>88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6">
        <v>72403</v>
      </c>
      <c r="K110" s="6">
        <v>72403</v>
      </c>
    </row>
    <row r="111" spans="1:11" ht="12.75">
      <c r="A111" s="218" t="s">
        <v>86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6"/>
      <c r="K111" s="6"/>
    </row>
    <row r="112" spans="1:11" ht="12.75">
      <c r="A112" s="218" t="s">
        <v>87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6">
        <v>1167796</v>
      </c>
      <c r="K112" s="6">
        <v>3169261</v>
      </c>
    </row>
    <row r="113" spans="1:12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6">
        <v>96409341</v>
      </c>
      <c r="K113" s="6">
        <v>110553817</v>
      </c>
      <c r="L113" s="108"/>
    </row>
    <row r="114" spans="1:11" ht="12.75">
      <c r="A114" s="207" t="s">
        <v>21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7">
        <f>J69+J86+J90+J100+J113</f>
        <v>4632037243</v>
      </c>
      <c r="K114" s="47">
        <f>K69+K86+K90+K100+K113</f>
        <v>5275195585</v>
      </c>
    </row>
    <row r="115" spans="1:11" ht="12.75">
      <c r="A115" s="232" t="s">
        <v>48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54545066</v>
      </c>
      <c r="K115" s="7">
        <v>54479411</v>
      </c>
    </row>
    <row r="116" spans="1:11" ht="12.75">
      <c r="A116" s="224" t="s">
        <v>289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4" t="s">
        <v>173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ht="12.75">
      <c r="A118" s="218" t="s">
        <v>6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6"/>
      <c r="K118" s="6"/>
    </row>
    <row r="119" spans="1:11" ht="12.75">
      <c r="A119" s="240" t="s">
        <v>7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7"/>
      <c r="K119" s="7"/>
    </row>
    <row r="120" spans="1:11" ht="12.75">
      <c r="A120" s="243" t="s">
        <v>290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6" spans="10:11" ht="12.75">
      <c r="J126" s="109"/>
      <c r="K126" s="10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16:J32 J93:J65536 J35 J86:K86 J58:J80 L1:IV65536 K87:K65536 K1:K69 K71:K85 J38:J42 J49:J56 J45 J11:J14 J1:J9 J87:J90 J82:J83"/>
    <dataValidation type="whole" operator="greaterThanOrEqual" allowBlank="1" showInputMessage="1" showErrorMessage="1" errorTitle="Pogrešan unos" error="Mogu se unijeti samo cjelobrojne pozitivne vrijednosti." sqref="J15 K70 J10 J33:J34 J36:J37 J46:J48 J43:J44 J57 J91:J92 J84 J81">
      <formula1>0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15748031496062992" right="0.15748031496062992" top="0.7874015748031497" bottom="0.7874015748031497" header="0.5118110236220472" footer="0.5118110236220472"/>
  <pageSetup fitToHeight="0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37">
      <selection activeCell="L56" sqref="L56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1.00390625" style="46" bestFit="1" customWidth="1"/>
    <col min="12" max="12" width="11.140625" style="46" bestFit="1" customWidth="1"/>
    <col min="13" max="13" width="10.8515625" style="46" bestFit="1" customWidth="1"/>
    <col min="14" max="16384" width="9.140625" style="46" customWidth="1"/>
  </cols>
  <sheetData>
    <row r="1" spans="1:13" ht="12.75" customHeight="1">
      <c r="A1" s="210" t="s">
        <v>143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60" t="s">
        <v>336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45" t="s">
        <v>317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2" t="s">
        <v>260</v>
      </c>
      <c r="J4" s="247" t="s">
        <v>298</v>
      </c>
      <c r="K4" s="247"/>
      <c r="L4" s="247" t="s">
        <v>299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2"/>
      <c r="J5" s="54" t="s">
        <v>293</v>
      </c>
      <c r="K5" s="54" t="s">
        <v>294</v>
      </c>
      <c r="L5" s="54" t="s">
        <v>293</v>
      </c>
      <c r="M5" s="54" t="s">
        <v>294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04" t="s">
        <v>22</v>
      </c>
      <c r="B7" s="205"/>
      <c r="C7" s="205"/>
      <c r="D7" s="205"/>
      <c r="E7" s="205"/>
      <c r="F7" s="205"/>
      <c r="G7" s="205"/>
      <c r="H7" s="206"/>
      <c r="I7" s="3">
        <v>111</v>
      </c>
      <c r="J7" s="48">
        <f>SUM(J8:J9)</f>
        <v>1542299506</v>
      </c>
      <c r="K7" s="48">
        <f>SUM(K8:K9)</f>
        <v>1051068002</v>
      </c>
      <c r="L7" s="48">
        <f>SUM(L8:L9)</f>
        <v>1675835757</v>
      </c>
      <c r="M7" s="48">
        <f>SUM(M8:M9)</f>
        <v>1154075834</v>
      </c>
    </row>
    <row r="8" spans="1:13" ht="12.75">
      <c r="A8" s="207" t="s">
        <v>141</v>
      </c>
      <c r="B8" s="208"/>
      <c r="C8" s="208"/>
      <c r="D8" s="208"/>
      <c r="E8" s="208"/>
      <c r="F8" s="208"/>
      <c r="G8" s="208"/>
      <c r="H8" s="209"/>
      <c r="I8" s="1">
        <v>112</v>
      </c>
      <c r="J8" s="6">
        <v>1529618051</v>
      </c>
      <c r="K8" s="6">
        <f>+J8-482380408</f>
        <v>1047237643</v>
      </c>
      <c r="L8" s="6">
        <v>1664028928</v>
      </c>
      <c r="M8" s="6">
        <f>+L8-515415213</f>
        <v>1148613715</v>
      </c>
    </row>
    <row r="9" spans="1:13" ht="12.75">
      <c r="A9" s="207" t="s">
        <v>92</v>
      </c>
      <c r="B9" s="208"/>
      <c r="C9" s="208"/>
      <c r="D9" s="208"/>
      <c r="E9" s="208"/>
      <c r="F9" s="208"/>
      <c r="G9" s="208"/>
      <c r="H9" s="209"/>
      <c r="I9" s="1">
        <v>113</v>
      </c>
      <c r="J9" s="6">
        <v>12681455</v>
      </c>
      <c r="K9" s="6">
        <f>+J9-8851096</f>
        <v>3830359</v>
      </c>
      <c r="L9" s="6">
        <f>272892+11533937</f>
        <v>11806829</v>
      </c>
      <c r="M9" s="6">
        <f>+L9-6344710</f>
        <v>5462119</v>
      </c>
    </row>
    <row r="10" spans="1:13" ht="12.75">
      <c r="A10" s="207" t="s">
        <v>10</v>
      </c>
      <c r="B10" s="208"/>
      <c r="C10" s="208"/>
      <c r="D10" s="208"/>
      <c r="E10" s="208"/>
      <c r="F10" s="208"/>
      <c r="G10" s="208"/>
      <c r="H10" s="209"/>
      <c r="I10" s="1">
        <v>114</v>
      </c>
      <c r="J10" s="47">
        <f>J11+J12+J16+J20+J21+J22+J25+J26</f>
        <v>1080372852</v>
      </c>
      <c r="K10" s="47">
        <f>K11+K12+K16+K20+K21+K22+K25+K26</f>
        <v>527164276</v>
      </c>
      <c r="L10" s="47">
        <f>L11+L12+L16+L20+L21+L22+L25+L26</f>
        <v>1172263012</v>
      </c>
      <c r="M10" s="47">
        <f>M11+M12+M16+M20+M21+M22+M25+M26</f>
        <v>750432686</v>
      </c>
    </row>
    <row r="11" spans="1:13" ht="12.75">
      <c r="A11" s="207" t="s">
        <v>93</v>
      </c>
      <c r="B11" s="208"/>
      <c r="C11" s="208"/>
      <c r="D11" s="208"/>
      <c r="E11" s="208"/>
      <c r="F11" s="208"/>
      <c r="G11" s="208"/>
      <c r="H11" s="209"/>
      <c r="I11" s="1">
        <v>115</v>
      </c>
      <c r="J11" s="6"/>
      <c r="K11" s="6"/>
      <c r="L11" s="6"/>
      <c r="M11" s="6"/>
    </row>
    <row r="12" spans="1:13" ht="12.75">
      <c r="A12" s="207" t="s">
        <v>18</v>
      </c>
      <c r="B12" s="208"/>
      <c r="C12" s="208"/>
      <c r="D12" s="208"/>
      <c r="E12" s="208"/>
      <c r="F12" s="208"/>
      <c r="G12" s="208"/>
      <c r="H12" s="209"/>
      <c r="I12" s="1">
        <v>116</v>
      </c>
      <c r="J12" s="47">
        <f>SUM(J13:J15)</f>
        <v>418643424</v>
      </c>
      <c r="K12" s="47">
        <f>SUM(K13:K15)</f>
        <v>238841233</v>
      </c>
      <c r="L12" s="47">
        <f>SUM(L13:L15)</f>
        <v>422748565</v>
      </c>
      <c r="M12" s="47">
        <f>SUM(M13:M15)</f>
        <v>270462767</v>
      </c>
    </row>
    <row r="13" spans="1:13" ht="12.75">
      <c r="A13" s="218" t="s">
        <v>135</v>
      </c>
      <c r="B13" s="219"/>
      <c r="C13" s="219"/>
      <c r="D13" s="219"/>
      <c r="E13" s="219"/>
      <c r="F13" s="219"/>
      <c r="G13" s="219"/>
      <c r="H13" s="220"/>
      <c r="I13" s="1">
        <v>117</v>
      </c>
      <c r="J13" s="6">
        <v>241602189</v>
      </c>
      <c r="K13" s="6">
        <f>+J13-108541882</f>
        <v>133060307</v>
      </c>
      <c r="L13" s="6">
        <v>262912387</v>
      </c>
      <c r="M13" s="6">
        <f>+L13-105040246</f>
        <v>157872141</v>
      </c>
    </row>
    <row r="14" spans="1:13" ht="12.75">
      <c r="A14" s="218" t="s">
        <v>136</v>
      </c>
      <c r="B14" s="219"/>
      <c r="C14" s="219"/>
      <c r="D14" s="219"/>
      <c r="E14" s="219"/>
      <c r="F14" s="219"/>
      <c r="G14" s="219"/>
      <c r="H14" s="220"/>
      <c r="I14" s="1">
        <v>118</v>
      </c>
      <c r="J14" s="6">
        <v>2749445</v>
      </c>
      <c r="K14" s="6">
        <f>+J14-1255465</f>
        <v>1493980</v>
      </c>
      <c r="L14" s="6">
        <v>3062034</v>
      </c>
      <c r="M14" s="6">
        <f>+L14-972745</f>
        <v>2089289</v>
      </c>
    </row>
    <row r="15" spans="1:13" ht="12.75">
      <c r="A15" s="218" t="s">
        <v>52</v>
      </c>
      <c r="B15" s="219"/>
      <c r="C15" s="219"/>
      <c r="D15" s="219"/>
      <c r="E15" s="219"/>
      <c r="F15" s="219"/>
      <c r="G15" s="219"/>
      <c r="H15" s="220"/>
      <c r="I15" s="1">
        <v>119</v>
      </c>
      <c r="J15" s="6">
        <v>174291790</v>
      </c>
      <c r="K15" s="6">
        <f>+J15-70004844</f>
        <v>104286946</v>
      </c>
      <c r="L15" s="6">
        <v>156774144</v>
      </c>
      <c r="M15" s="6">
        <f>+L15-46272807</f>
        <v>110501337</v>
      </c>
    </row>
    <row r="16" spans="1:13" ht="12.75">
      <c r="A16" s="207" t="s">
        <v>19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7">
        <f>J17+J18+J19</f>
        <v>344484076</v>
      </c>
      <c r="K16" s="47">
        <f>SUM(K17:K19)</f>
        <v>158723160</v>
      </c>
      <c r="L16" s="47">
        <f>L17+L18+L19</f>
        <v>377887112</v>
      </c>
      <c r="M16" s="47">
        <f>+L16-149043258</f>
        <v>228843854</v>
      </c>
    </row>
    <row r="17" spans="1:13" ht="12.75">
      <c r="A17" s="218" t="s">
        <v>53</v>
      </c>
      <c r="B17" s="219"/>
      <c r="C17" s="219"/>
      <c r="D17" s="219"/>
      <c r="E17" s="219"/>
      <c r="F17" s="219"/>
      <c r="G17" s="219"/>
      <c r="H17" s="220"/>
      <c r="I17" s="1">
        <v>121</v>
      </c>
      <c r="J17" s="6">
        <v>207014411</v>
      </c>
      <c r="K17" s="6">
        <f>+J17-111763065</f>
        <v>95251346</v>
      </c>
      <c r="L17" s="6">
        <v>228371007</v>
      </c>
      <c r="M17" s="6">
        <f>+L17-89884037</f>
        <v>138486970</v>
      </c>
    </row>
    <row r="18" spans="1:13" ht="12.75">
      <c r="A18" s="218" t="s">
        <v>54</v>
      </c>
      <c r="B18" s="219"/>
      <c r="C18" s="219"/>
      <c r="D18" s="219"/>
      <c r="E18" s="219"/>
      <c r="F18" s="219"/>
      <c r="G18" s="219"/>
      <c r="H18" s="220"/>
      <c r="I18" s="1">
        <v>122</v>
      </c>
      <c r="J18" s="6">
        <v>89158734</v>
      </c>
      <c r="K18" s="6">
        <f>+J18-47832412</f>
        <v>41326322</v>
      </c>
      <c r="L18" s="6">
        <v>97286057</v>
      </c>
      <c r="M18" s="6">
        <f>+L18-38324228</f>
        <v>58961829</v>
      </c>
    </row>
    <row r="19" spans="1:13" ht="12.75">
      <c r="A19" s="218" t="s">
        <v>55</v>
      </c>
      <c r="B19" s="219"/>
      <c r="C19" s="219"/>
      <c r="D19" s="219"/>
      <c r="E19" s="219"/>
      <c r="F19" s="219"/>
      <c r="G19" s="219"/>
      <c r="H19" s="220"/>
      <c r="I19" s="1">
        <v>123</v>
      </c>
      <c r="J19" s="6">
        <v>48310931</v>
      </c>
      <c r="K19" s="6">
        <f>+J19-26165439</f>
        <v>22145492</v>
      </c>
      <c r="L19" s="6">
        <v>52230048</v>
      </c>
      <c r="M19" s="6">
        <f>+L19-20834993</f>
        <v>31395055</v>
      </c>
    </row>
    <row r="20" spans="1:13" ht="12.75">
      <c r="A20" s="207" t="s">
        <v>94</v>
      </c>
      <c r="B20" s="208"/>
      <c r="C20" s="208"/>
      <c r="D20" s="208"/>
      <c r="E20" s="208"/>
      <c r="F20" s="208"/>
      <c r="G20" s="208"/>
      <c r="H20" s="209"/>
      <c r="I20" s="1">
        <v>124</v>
      </c>
      <c r="J20" s="6">
        <v>215613149</v>
      </c>
      <c r="K20" s="6">
        <f>+J20-133874756</f>
        <v>81738393</v>
      </c>
      <c r="L20" s="6">
        <v>253711399</v>
      </c>
      <c r="M20" s="6">
        <f>+L20-84603406</f>
        <v>169107993</v>
      </c>
    </row>
    <row r="21" spans="1:13" ht="12.75">
      <c r="A21" s="207" t="s">
        <v>95</v>
      </c>
      <c r="B21" s="208"/>
      <c r="C21" s="208"/>
      <c r="D21" s="208"/>
      <c r="E21" s="208"/>
      <c r="F21" s="208"/>
      <c r="G21" s="208"/>
      <c r="H21" s="209"/>
      <c r="I21" s="1">
        <v>125</v>
      </c>
      <c r="J21" s="6">
        <v>95540566</v>
      </c>
      <c r="K21" s="6">
        <f>+J21-50563921</f>
        <v>44976645</v>
      </c>
      <c r="L21" s="6">
        <v>113607521</v>
      </c>
      <c r="M21" s="6">
        <f>+L21-34685592</f>
        <v>78921929</v>
      </c>
    </row>
    <row r="22" spans="1:13" ht="12.75">
      <c r="A22" s="207" t="s">
        <v>20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7">
        <f>SUM(J23:J24)</f>
        <v>69637</v>
      </c>
      <c r="K22" s="47">
        <f>SUM(K23:K24)</f>
        <v>0</v>
      </c>
      <c r="L22" s="47">
        <f>SUM(L23:L24)</f>
        <v>83578</v>
      </c>
      <c r="M22" s="47">
        <f>+L22-11385</f>
        <v>72193</v>
      </c>
    </row>
    <row r="23" spans="1:13" ht="12.75">
      <c r="A23" s="218" t="s">
        <v>126</v>
      </c>
      <c r="B23" s="219"/>
      <c r="C23" s="219"/>
      <c r="D23" s="219"/>
      <c r="E23" s="219"/>
      <c r="F23" s="219"/>
      <c r="G23" s="219"/>
      <c r="H23" s="220"/>
      <c r="I23" s="1">
        <v>127</v>
      </c>
      <c r="J23" s="6"/>
      <c r="K23" s="6"/>
      <c r="L23" s="6"/>
      <c r="M23" s="6"/>
    </row>
    <row r="24" spans="1:13" ht="12.75">
      <c r="A24" s="218" t="s">
        <v>127</v>
      </c>
      <c r="B24" s="219"/>
      <c r="C24" s="219"/>
      <c r="D24" s="219"/>
      <c r="E24" s="219"/>
      <c r="F24" s="219"/>
      <c r="G24" s="219"/>
      <c r="H24" s="220"/>
      <c r="I24" s="1">
        <v>128</v>
      </c>
      <c r="J24" s="6">
        <v>69637</v>
      </c>
      <c r="K24" s="6">
        <f>+J24-69637</f>
        <v>0</v>
      </c>
      <c r="L24" s="6">
        <v>83578</v>
      </c>
      <c r="M24" s="6">
        <f>+L24-11385</f>
        <v>72193</v>
      </c>
    </row>
    <row r="25" spans="1:13" ht="12.75">
      <c r="A25" s="207" t="s">
        <v>96</v>
      </c>
      <c r="B25" s="208"/>
      <c r="C25" s="208"/>
      <c r="D25" s="208"/>
      <c r="E25" s="208"/>
      <c r="F25" s="208"/>
      <c r="G25" s="208"/>
      <c r="H25" s="209"/>
      <c r="I25" s="1">
        <v>129</v>
      </c>
      <c r="J25" s="6"/>
      <c r="K25" s="6"/>
      <c r="L25" s="6"/>
      <c r="M25" s="6"/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6">
        <v>6022000</v>
      </c>
      <c r="K26" s="6">
        <f>+J26-3137155</f>
        <v>2884845</v>
      </c>
      <c r="L26" s="6">
        <v>4224837</v>
      </c>
      <c r="M26" s="6">
        <f>+L26-1200887</f>
        <v>3023950</v>
      </c>
    </row>
    <row r="27" spans="1:13" ht="12.75">
      <c r="A27" s="207" t="s">
        <v>198</v>
      </c>
      <c r="B27" s="208"/>
      <c r="C27" s="208"/>
      <c r="D27" s="208"/>
      <c r="E27" s="208"/>
      <c r="F27" s="208"/>
      <c r="G27" s="208"/>
      <c r="H27" s="209"/>
      <c r="I27" s="1">
        <v>131</v>
      </c>
      <c r="J27" s="47">
        <f>SUM(J28:J32)</f>
        <v>55622830</v>
      </c>
      <c r="K27" s="47">
        <f>SUM(K28:K32)</f>
        <v>10438960</v>
      </c>
      <c r="L27" s="47">
        <f>SUM(L28:L32)</f>
        <v>55415364</v>
      </c>
      <c r="M27" s="47">
        <f>SUM(M28:M32)</f>
        <v>34979054</v>
      </c>
    </row>
    <row r="28" spans="1:13" ht="13.5" customHeight="1">
      <c r="A28" s="248" t="s">
        <v>320</v>
      </c>
      <c r="B28" s="249"/>
      <c r="C28" s="249"/>
      <c r="D28" s="249"/>
      <c r="E28" s="249"/>
      <c r="F28" s="249"/>
      <c r="G28" s="249"/>
      <c r="H28" s="250"/>
      <c r="I28" s="1">
        <v>132</v>
      </c>
      <c r="J28" s="6"/>
      <c r="K28" s="6"/>
      <c r="L28" s="6">
        <v>6050776</v>
      </c>
      <c r="M28" s="6">
        <f>+L28</f>
        <v>6050776</v>
      </c>
    </row>
    <row r="29" spans="1:13" ht="12.75" customHeight="1">
      <c r="A29" s="207" t="s">
        <v>321</v>
      </c>
      <c r="B29" s="208"/>
      <c r="C29" s="208"/>
      <c r="D29" s="208"/>
      <c r="E29" s="208"/>
      <c r="F29" s="208"/>
      <c r="G29" s="208"/>
      <c r="H29" s="209"/>
      <c r="I29" s="1">
        <v>133</v>
      </c>
      <c r="J29" s="6">
        <v>45878327</v>
      </c>
      <c r="K29" s="6">
        <f>+J29-36303532</f>
        <v>9574795</v>
      </c>
      <c r="L29" s="6">
        <v>42400966</v>
      </c>
      <c r="M29" s="6">
        <f>+L29-17329259</f>
        <v>25071707</v>
      </c>
    </row>
    <row r="30" spans="1:13" ht="12.75">
      <c r="A30" s="207" t="s">
        <v>128</v>
      </c>
      <c r="B30" s="208"/>
      <c r="C30" s="208"/>
      <c r="D30" s="208"/>
      <c r="E30" s="208"/>
      <c r="F30" s="208"/>
      <c r="G30" s="208"/>
      <c r="H30" s="209"/>
      <c r="I30" s="1">
        <v>134</v>
      </c>
      <c r="J30" s="6"/>
      <c r="K30" s="6"/>
      <c r="L30" s="6"/>
      <c r="M30" s="6"/>
    </row>
    <row r="31" spans="1:13" ht="12.75">
      <c r="A31" s="207" t="s">
        <v>206</v>
      </c>
      <c r="B31" s="208"/>
      <c r="C31" s="208"/>
      <c r="D31" s="208"/>
      <c r="E31" s="208"/>
      <c r="F31" s="208"/>
      <c r="G31" s="208"/>
      <c r="H31" s="209"/>
      <c r="I31" s="1">
        <v>135</v>
      </c>
      <c r="J31" s="6">
        <v>7098051</v>
      </c>
      <c r="K31" s="6">
        <f>+J31-7098051</f>
        <v>0</v>
      </c>
      <c r="L31" s="6">
        <v>4696029</v>
      </c>
      <c r="M31" s="6">
        <f>+L31-1971070</f>
        <v>2724959</v>
      </c>
    </row>
    <row r="32" spans="1:13" ht="12.75">
      <c r="A32" s="207" t="s">
        <v>129</v>
      </c>
      <c r="B32" s="208"/>
      <c r="C32" s="208"/>
      <c r="D32" s="208"/>
      <c r="E32" s="208"/>
      <c r="F32" s="208"/>
      <c r="G32" s="208"/>
      <c r="H32" s="209"/>
      <c r="I32" s="1">
        <v>136</v>
      </c>
      <c r="J32" s="6">
        <v>2646452</v>
      </c>
      <c r="K32" s="6">
        <f>+J32-1782287</f>
        <v>864165</v>
      </c>
      <c r="L32" s="6">
        <v>2267593</v>
      </c>
      <c r="M32" s="6">
        <f>+L32-1135981</f>
        <v>1131612</v>
      </c>
    </row>
    <row r="33" spans="1:13" ht="12.75">
      <c r="A33" s="207" t="s">
        <v>199</v>
      </c>
      <c r="B33" s="208"/>
      <c r="C33" s="208"/>
      <c r="D33" s="208"/>
      <c r="E33" s="208"/>
      <c r="F33" s="208"/>
      <c r="G33" s="208"/>
      <c r="H33" s="209"/>
      <c r="I33" s="1">
        <v>137</v>
      </c>
      <c r="J33" s="47">
        <f>SUM(J34:J37)</f>
        <v>67399830</v>
      </c>
      <c r="K33" s="47">
        <f>SUM(K34:K37)</f>
        <v>43867493</v>
      </c>
      <c r="L33" s="47">
        <f>SUM(L34:L37)</f>
        <v>55465551</v>
      </c>
      <c r="M33" s="47">
        <f>+L33-14845331</f>
        <v>40620220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6"/>
      <c r="K34" s="6"/>
      <c r="L34" s="6"/>
      <c r="M34" s="6"/>
    </row>
    <row r="35" spans="1:13" ht="12.75">
      <c r="A35" s="251" t="s">
        <v>56</v>
      </c>
      <c r="B35" s="252"/>
      <c r="C35" s="252"/>
      <c r="D35" s="252"/>
      <c r="E35" s="252"/>
      <c r="F35" s="252"/>
      <c r="G35" s="252"/>
      <c r="H35" s="253"/>
      <c r="I35" s="1">
        <v>139</v>
      </c>
      <c r="J35" s="6">
        <v>55051192</v>
      </c>
      <c r="K35" s="6">
        <f>+J35-21319575</f>
        <v>33731617</v>
      </c>
      <c r="L35" s="6">
        <v>49526997</v>
      </c>
      <c r="M35" s="6">
        <f>+L35-12307020</f>
        <v>37219977</v>
      </c>
    </row>
    <row r="36" spans="1:13" ht="12.75">
      <c r="A36" s="207" t="s">
        <v>207</v>
      </c>
      <c r="B36" s="208"/>
      <c r="C36" s="208"/>
      <c r="D36" s="208"/>
      <c r="E36" s="208"/>
      <c r="F36" s="208"/>
      <c r="G36" s="208"/>
      <c r="H36" s="209"/>
      <c r="I36" s="1">
        <v>140</v>
      </c>
      <c r="J36" s="6">
        <v>5990954</v>
      </c>
      <c r="K36" s="6">
        <f>+J36-1605295</f>
        <v>4385659</v>
      </c>
      <c r="L36" s="6">
        <v>5086445</v>
      </c>
      <c r="M36" s="6">
        <f>+L36-2146623</f>
        <v>2939822</v>
      </c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6">
        <v>6357684</v>
      </c>
      <c r="K37" s="6">
        <f>+J37-607467</f>
        <v>5750217</v>
      </c>
      <c r="L37" s="6">
        <v>852109</v>
      </c>
      <c r="M37" s="6">
        <f>+L37-391688</f>
        <v>460421</v>
      </c>
    </row>
    <row r="38" spans="1:13" ht="12.75">
      <c r="A38" s="207" t="s">
        <v>181</v>
      </c>
      <c r="B38" s="208"/>
      <c r="C38" s="208"/>
      <c r="D38" s="208"/>
      <c r="E38" s="208"/>
      <c r="F38" s="208"/>
      <c r="G38" s="208"/>
      <c r="H38" s="209"/>
      <c r="I38" s="1">
        <v>142</v>
      </c>
      <c r="J38" s="6"/>
      <c r="K38" s="6"/>
      <c r="L38" s="6"/>
      <c r="M38" s="6"/>
    </row>
    <row r="39" spans="1:13" ht="12.75">
      <c r="A39" s="207" t="s">
        <v>182</v>
      </c>
      <c r="B39" s="208"/>
      <c r="C39" s="208"/>
      <c r="D39" s="208"/>
      <c r="E39" s="208"/>
      <c r="F39" s="208"/>
      <c r="G39" s="208"/>
      <c r="H39" s="209"/>
      <c r="I39" s="1">
        <v>143</v>
      </c>
      <c r="J39" s="6"/>
      <c r="K39" s="6"/>
      <c r="L39" s="6"/>
      <c r="M39" s="6"/>
    </row>
    <row r="40" spans="1:13" ht="12.75">
      <c r="A40" s="207" t="s">
        <v>208</v>
      </c>
      <c r="B40" s="208"/>
      <c r="C40" s="208"/>
      <c r="D40" s="208"/>
      <c r="E40" s="208"/>
      <c r="F40" s="208"/>
      <c r="G40" s="208"/>
      <c r="H40" s="209"/>
      <c r="I40" s="1">
        <v>144</v>
      </c>
      <c r="J40" s="6"/>
      <c r="K40" s="6"/>
      <c r="L40" s="6"/>
      <c r="M40" s="6"/>
    </row>
    <row r="41" spans="1:13" ht="12.75">
      <c r="A41" s="207" t="s">
        <v>209</v>
      </c>
      <c r="B41" s="208"/>
      <c r="C41" s="208"/>
      <c r="D41" s="208"/>
      <c r="E41" s="208"/>
      <c r="F41" s="208"/>
      <c r="G41" s="208"/>
      <c r="H41" s="209"/>
      <c r="I41" s="1">
        <v>145</v>
      </c>
      <c r="J41" s="6"/>
      <c r="K41" s="6"/>
      <c r="L41" s="6"/>
      <c r="M41" s="6"/>
    </row>
    <row r="42" spans="1:13" ht="12.75">
      <c r="A42" s="207" t="s">
        <v>337</v>
      </c>
      <c r="B42" s="208"/>
      <c r="C42" s="208"/>
      <c r="D42" s="208"/>
      <c r="E42" s="208"/>
      <c r="F42" s="208"/>
      <c r="G42" s="208"/>
      <c r="H42" s="209"/>
      <c r="I42" s="1">
        <v>146</v>
      </c>
      <c r="J42" s="47">
        <f>J7+J27+J38+J40</f>
        <v>1597922336</v>
      </c>
      <c r="K42" s="47">
        <f>K7+K27+K38+K40</f>
        <v>1061506962</v>
      </c>
      <c r="L42" s="47">
        <f>L7+L27+L38+L40</f>
        <v>1731251121</v>
      </c>
      <c r="M42" s="47">
        <f>M7+M27+M38+M40</f>
        <v>1189054888</v>
      </c>
    </row>
    <row r="43" spans="1:13" ht="12.75">
      <c r="A43" s="207" t="s">
        <v>338</v>
      </c>
      <c r="B43" s="208"/>
      <c r="C43" s="208"/>
      <c r="D43" s="208"/>
      <c r="E43" s="208"/>
      <c r="F43" s="208"/>
      <c r="G43" s="208"/>
      <c r="H43" s="209"/>
      <c r="I43" s="1">
        <v>147</v>
      </c>
      <c r="J43" s="47">
        <f>J10+J33+J39+J41</f>
        <v>1147772682</v>
      </c>
      <c r="K43" s="47">
        <f>K10+K33+K39+K41</f>
        <v>571031769</v>
      </c>
      <c r="L43" s="47">
        <f>L10+L33+L39+L41</f>
        <v>1227728563</v>
      </c>
      <c r="M43" s="47">
        <f>M10+M33+M39+M41</f>
        <v>791052906</v>
      </c>
    </row>
    <row r="44" spans="1:13" ht="12.75">
      <c r="A44" s="207" t="s">
        <v>217</v>
      </c>
      <c r="B44" s="208"/>
      <c r="C44" s="208"/>
      <c r="D44" s="208"/>
      <c r="E44" s="208"/>
      <c r="F44" s="208"/>
      <c r="G44" s="208"/>
      <c r="H44" s="209"/>
      <c r="I44" s="1">
        <v>148</v>
      </c>
      <c r="J44" s="47">
        <f>J42-J43</f>
        <v>450149654</v>
      </c>
      <c r="K44" s="47">
        <f>K42-K43</f>
        <v>490475193</v>
      </c>
      <c r="L44" s="47">
        <f>L42-L43</f>
        <v>503522558</v>
      </c>
      <c r="M44" s="47">
        <f>M42-M43</f>
        <v>398001982</v>
      </c>
    </row>
    <row r="45" spans="1:13" ht="12.75">
      <c r="A45" s="227" t="s">
        <v>201</v>
      </c>
      <c r="B45" s="228"/>
      <c r="C45" s="228"/>
      <c r="D45" s="228"/>
      <c r="E45" s="228"/>
      <c r="F45" s="228"/>
      <c r="G45" s="228"/>
      <c r="H45" s="229"/>
      <c r="I45" s="1">
        <v>149</v>
      </c>
      <c r="J45" s="47">
        <f>IF(J42&gt;J43,J42-J43,0)</f>
        <v>450149654</v>
      </c>
      <c r="K45" s="47">
        <f>IF(K42&gt;K43,K42-K43,0)</f>
        <v>490475193</v>
      </c>
      <c r="L45" s="47">
        <f>IF(L42&gt;L43,L42-L43,0)</f>
        <v>503522558</v>
      </c>
      <c r="M45" s="47">
        <f>IF(M42&gt;M43,M42-M43,0)</f>
        <v>398001982</v>
      </c>
    </row>
    <row r="46" spans="1:13" ht="12.75">
      <c r="A46" s="227" t="s">
        <v>202</v>
      </c>
      <c r="B46" s="228"/>
      <c r="C46" s="228"/>
      <c r="D46" s="228"/>
      <c r="E46" s="228"/>
      <c r="F46" s="228"/>
      <c r="G46" s="228"/>
      <c r="H46" s="229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>
      <c r="A47" s="207" t="s">
        <v>200</v>
      </c>
      <c r="B47" s="208"/>
      <c r="C47" s="208"/>
      <c r="D47" s="208"/>
      <c r="E47" s="208"/>
      <c r="F47" s="208"/>
      <c r="G47" s="208"/>
      <c r="H47" s="209"/>
      <c r="I47" s="1">
        <v>151</v>
      </c>
      <c r="J47" s="6"/>
      <c r="K47" s="6"/>
      <c r="L47" s="6"/>
      <c r="M47" s="6"/>
    </row>
    <row r="48" spans="1:13" ht="12.75">
      <c r="A48" s="207" t="s">
        <v>218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7">
        <f>J44-J47</f>
        <v>450149654</v>
      </c>
      <c r="K48" s="47">
        <f>K44-K47</f>
        <v>490475193</v>
      </c>
      <c r="L48" s="47">
        <f>L44-L47</f>
        <v>503522558</v>
      </c>
      <c r="M48" s="47">
        <f>M44-M47</f>
        <v>398001982</v>
      </c>
    </row>
    <row r="49" spans="1:13" ht="12.75">
      <c r="A49" s="227" t="s">
        <v>179</v>
      </c>
      <c r="B49" s="228"/>
      <c r="C49" s="228"/>
      <c r="D49" s="228"/>
      <c r="E49" s="228"/>
      <c r="F49" s="228"/>
      <c r="G49" s="228"/>
      <c r="H49" s="229"/>
      <c r="I49" s="1">
        <v>153</v>
      </c>
      <c r="J49" s="47">
        <f>IF(J48&gt;0,J48,0)</f>
        <v>450149654</v>
      </c>
      <c r="K49" s="47">
        <f>IF(K48&gt;0,K48,0)</f>
        <v>490475193</v>
      </c>
      <c r="L49" s="47">
        <f>IF(L48&gt;0,L48,0)</f>
        <v>503522558</v>
      </c>
      <c r="M49" s="47">
        <f>IF(M48&gt;0,M48,0)</f>
        <v>398001982</v>
      </c>
    </row>
    <row r="50" spans="1:13" ht="12.75">
      <c r="A50" s="257" t="s">
        <v>203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24" t="s">
        <v>291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4" t="s">
        <v>174</v>
      </c>
      <c r="B52" s="205"/>
      <c r="C52" s="205"/>
      <c r="D52" s="205"/>
      <c r="E52" s="205"/>
      <c r="F52" s="205"/>
      <c r="G52" s="205"/>
      <c r="H52" s="205"/>
      <c r="I52" s="49"/>
      <c r="J52" s="49"/>
      <c r="K52" s="49"/>
      <c r="L52" s="49"/>
      <c r="M52" s="56"/>
    </row>
    <row r="53" spans="1:13" ht="12.75">
      <c r="A53" s="254" t="s">
        <v>215</v>
      </c>
      <c r="B53" s="255"/>
      <c r="C53" s="255"/>
      <c r="D53" s="255"/>
      <c r="E53" s="255"/>
      <c r="F53" s="255"/>
      <c r="G53" s="255"/>
      <c r="H53" s="256"/>
      <c r="I53" s="1">
        <v>155</v>
      </c>
      <c r="J53" s="6">
        <f>+J48</f>
        <v>450149654</v>
      </c>
      <c r="K53" s="6">
        <f>+K48</f>
        <v>490475193</v>
      </c>
      <c r="L53" s="6">
        <f>+L48</f>
        <v>503522558</v>
      </c>
      <c r="M53" s="6">
        <f>+M48</f>
        <v>398001982</v>
      </c>
    </row>
    <row r="54" spans="1:13" ht="12.75">
      <c r="A54" s="254" t="s">
        <v>216</v>
      </c>
      <c r="B54" s="255"/>
      <c r="C54" s="255"/>
      <c r="D54" s="255"/>
      <c r="E54" s="255"/>
      <c r="F54" s="255"/>
      <c r="G54" s="255"/>
      <c r="H54" s="256"/>
      <c r="I54" s="1">
        <v>156</v>
      </c>
      <c r="J54" s="7"/>
      <c r="K54" s="7"/>
      <c r="L54" s="7"/>
      <c r="M54" s="7"/>
    </row>
    <row r="55" spans="1:13" ht="12.75" customHeight="1">
      <c r="A55" s="224" t="s">
        <v>176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4" t="s">
        <v>339</v>
      </c>
      <c r="B56" s="205"/>
      <c r="C56" s="205"/>
      <c r="D56" s="205"/>
      <c r="E56" s="205"/>
      <c r="F56" s="205"/>
      <c r="G56" s="205"/>
      <c r="H56" s="206"/>
      <c r="I56" s="8">
        <v>157</v>
      </c>
      <c r="J56" s="5">
        <f>+J53</f>
        <v>450149654</v>
      </c>
      <c r="K56" s="5">
        <f>+K53</f>
        <v>490475193</v>
      </c>
      <c r="L56" s="5">
        <f>+L53</f>
        <v>503522558</v>
      </c>
      <c r="M56" s="5">
        <f>+M53</f>
        <v>398001982</v>
      </c>
    </row>
    <row r="57" spans="1:13" ht="12.75">
      <c r="A57" s="207" t="s">
        <v>204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7">
        <f>SUM(J58:J64)</f>
        <v>27429</v>
      </c>
      <c r="K57" s="47">
        <f>SUM(K58:K64)</f>
        <v>12401</v>
      </c>
      <c r="L57" s="47">
        <f>SUM(L58:L64)</f>
        <v>165427.96</v>
      </c>
      <c r="M57" s="47">
        <f>SUM(M58:M64)</f>
        <v>165427.96</v>
      </c>
    </row>
    <row r="58" spans="1:13" ht="12.75">
      <c r="A58" s="207" t="s">
        <v>210</v>
      </c>
      <c r="B58" s="208"/>
      <c r="C58" s="208"/>
      <c r="D58" s="208"/>
      <c r="E58" s="208"/>
      <c r="F58" s="208"/>
      <c r="G58" s="208"/>
      <c r="H58" s="209"/>
      <c r="I58" s="1">
        <v>159</v>
      </c>
      <c r="J58" s="6"/>
      <c r="K58" s="6"/>
      <c r="L58" s="6"/>
      <c r="M58" s="6"/>
    </row>
    <row r="59" spans="1:13" ht="12.75">
      <c r="A59" s="251" t="s">
        <v>323</v>
      </c>
      <c r="B59" s="252"/>
      <c r="C59" s="252"/>
      <c r="D59" s="252"/>
      <c r="E59" s="252"/>
      <c r="F59" s="252"/>
      <c r="G59" s="252"/>
      <c r="H59" s="253"/>
      <c r="I59" s="1">
        <v>160</v>
      </c>
      <c r="J59" s="6"/>
      <c r="K59" s="6"/>
      <c r="L59" s="6"/>
      <c r="M59" s="6"/>
    </row>
    <row r="60" spans="1:13" ht="12.75" customHeight="1">
      <c r="A60" s="251" t="s">
        <v>324</v>
      </c>
      <c r="B60" s="252"/>
      <c r="C60" s="252"/>
      <c r="D60" s="252"/>
      <c r="E60" s="252"/>
      <c r="F60" s="252"/>
      <c r="G60" s="252"/>
      <c r="H60" s="253"/>
      <c r="I60" s="1">
        <v>161</v>
      </c>
      <c r="J60" s="6">
        <v>27429</v>
      </c>
      <c r="K60" s="6">
        <f>+J60-15028</f>
        <v>12401</v>
      </c>
      <c r="L60" s="6">
        <v>165427.96</v>
      </c>
      <c r="M60" s="6">
        <f>+L60</f>
        <v>165427.96</v>
      </c>
    </row>
    <row r="61" spans="1:13" ht="12.75">
      <c r="A61" s="207" t="s">
        <v>211</v>
      </c>
      <c r="B61" s="208"/>
      <c r="C61" s="208"/>
      <c r="D61" s="208"/>
      <c r="E61" s="208"/>
      <c r="F61" s="208"/>
      <c r="G61" s="208"/>
      <c r="H61" s="209"/>
      <c r="I61" s="1">
        <v>162</v>
      </c>
      <c r="J61" s="6"/>
      <c r="K61" s="6"/>
      <c r="L61" s="6"/>
      <c r="M61" s="6"/>
    </row>
    <row r="62" spans="1:13" ht="12.75">
      <c r="A62" s="207" t="s">
        <v>212</v>
      </c>
      <c r="B62" s="208"/>
      <c r="C62" s="208"/>
      <c r="D62" s="208"/>
      <c r="E62" s="208"/>
      <c r="F62" s="208"/>
      <c r="G62" s="208"/>
      <c r="H62" s="209"/>
      <c r="I62" s="1">
        <v>163</v>
      </c>
      <c r="J62" s="6"/>
      <c r="K62" s="6"/>
      <c r="L62" s="6"/>
      <c r="M62" s="6"/>
    </row>
    <row r="63" spans="1:13" ht="12.75">
      <c r="A63" s="207" t="s">
        <v>213</v>
      </c>
      <c r="B63" s="208"/>
      <c r="C63" s="208"/>
      <c r="D63" s="208"/>
      <c r="E63" s="208"/>
      <c r="F63" s="208"/>
      <c r="G63" s="208"/>
      <c r="H63" s="209"/>
      <c r="I63" s="1">
        <v>164</v>
      </c>
      <c r="J63" s="6"/>
      <c r="K63" s="6"/>
      <c r="L63" s="6"/>
      <c r="M63" s="6"/>
    </row>
    <row r="64" spans="1:13" ht="12.75">
      <c r="A64" s="207" t="s">
        <v>214</v>
      </c>
      <c r="B64" s="208"/>
      <c r="C64" s="208"/>
      <c r="D64" s="208"/>
      <c r="E64" s="208"/>
      <c r="F64" s="208"/>
      <c r="G64" s="208"/>
      <c r="H64" s="209"/>
      <c r="I64" s="1">
        <v>165</v>
      </c>
      <c r="J64" s="6"/>
      <c r="K64" s="6"/>
      <c r="L64" s="6"/>
      <c r="M64" s="6"/>
    </row>
    <row r="65" spans="1:13" ht="12.75">
      <c r="A65" s="207" t="s">
        <v>205</v>
      </c>
      <c r="B65" s="208"/>
      <c r="C65" s="208"/>
      <c r="D65" s="208"/>
      <c r="E65" s="208"/>
      <c r="F65" s="208"/>
      <c r="G65" s="208"/>
      <c r="H65" s="209"/>
      <c r="I65" s="1">
        <v>166</v>
      </c>
      <c r="J65" s="6">
        <v>5485</v>
      </c>
      <c r="K65" s="6">
        <f>+J65-3005</f>
        <v>2480</v>
      </c>
      <c r="L65" s="6">
        <v>33085.59</v>
      </c>
      <c r="M65" s="6">
        <f>+L65</f>
        <v>33085.59</v>
      </c>
    </row>
    <row r="66" spans="1:13" ht="12.75" customHeight="1">
      <c r="A66" s="207" t="s">
        <v>325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7">
        <f>J57-J65</f>
        <v>21944</v>
      </c>
      <c r="K66" s="47">
        <f>K57-K65</f>
        <v>9921</v>
      </c>
      <c r="L66" s="47">
        <f>L57-L65</f>
        <v>132342.37</v>
      </c>
      <c r="M66" s="47">
        <f>M57-M65</f>
        <v>132342.37</v>
      </c>
    </row>
    <row r="67" spans="1:13" ht="12.75">
      <c r="A67" s="207" t="s">
        <v>180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5">
        <f>J56+J66</f>
        <v>450171598</v>
      </c>
      <c r="K67" s="55">
        <f>K56+K66</f>
        <v>490485114</v>
      </c>
      <c r="L67" s="55">
        <f>L56+L66</f>
        <v>503654900.37</v>
      </c>
      <c r="M67" s="55">
        <f>M56+M66</f>
        <v>398134324.37</v>
      </c>
    </row>
    <row r="68" spans="1:13" ht="12.75" customHeight="1">
      <c r="A68" s="264" t="s">
        <v>292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175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4" t="s">
        <v>215</v>
      </c>
      <c r="B70" s="255"/>
      <c r="C70" s="255"/>
      <c r="D70" s="255"/>
      <c r="E70" s="255"/>
      <c r="F70" s="255"/>
      <c r="G70" s="255"/>
      <c r="H70" s="256"/>
      <c r="I70" s="1">
        <v>169</v>
      </c>
      <c r="J70" s="6"/>
      <c r="K70" s="6"/>
      <c r="L70" s="6"/>
      <c r="M70" s="6"/>
    </row>
    <row r="71" spans="1:13" ht="12.75">
      <c r="A71" s="261" t="s">
        <v>216</v>
      </c>
      <c r="B71" s="262"/>
      <c r="C71" s="262"/>
      <c r="D71" s="262"/>
      <c r="E71" s="262"/>
      <c r="F71" s="262"/>
      <c r="G71" s="262"/>
      <c r="H71" s="26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9" width="9.140625" style="46" customWidth="1"/>
    <col min="10" max="10" width="10.57421875" style="46" customWidth="1"/>
    <col min="11" max="11" width="11.28125" style="63" bestFit="1" customWidth="1"/>
    <col min="12" max="12" width="11.28125" style="109" bestFit="1" customWidth="1"/>
    <col min="13" max="13" width="10.28125" style="46" bestFit="1" customWidth="1"/>
    <col min="14" max="16384" width="9.140625" style="46" customWidth="1"/>
  </cols>
  <sheetData>
    <row r="1" spans="1:11" ht="12.75" customHeight="1">
      <c r="A1" s="271" t="s">
        <v>152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317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50</v>
      </c>
      <c r="B4" s="273"/>
      <c r="C4" s="273"/>
      <c r="D4" s="273"/>
      <c r="E4" s="273"/>
      <c r="F4" s="273"/>
      <c r="G4" s="273"/>
      <c r="H4" s="273"/>
      <c r="I4" s="58" t="s">
        <v>260</v>
      </c>
      <c r="J4" s="59" t="s">
        <v>298</v>
      </c>
      <c r="K4" s="59" t="s">
        <v>299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0">
        <v>2</v>
      </c>
      <c r="J5" s="61" t="s">
        <v>264</v>
      </c>
      <c r="K5" s="61" t="s">
        <v>265</v>
      </c>
    </row>
    <row r="6" spans="1:11" ht="12.75">
      <c r="A6" s="224" t="s">
        <v>144</v>
      </c>
      <c r="B6" s="235"/>
      <c r="C6" s="235"/>
      <c r="D6" s="235"/>
      <c r="E6" s="235"/>
      <c r="F6" s="235"/>
      <c r="G6" s="235"/>
      <c r="H6" s="235"/>
      <c r="I6" s="275"/>
      <c r="J6" s="275"/>
      <c r="K6" s="276"/>
    </row>
    <row r="7" spans="1:11" ht="12.75">
      <c r="A7" s="218" t="s">
        <v>32</v>
      </c>
      <c r="B7" s="219"/>
      <c r="C7" s="219"/>
      <c r="D7" s="219"/>
      <c r="E7" s="219"/>
      <c r="F7" s="219"/>
      <c r="G7" s="219"/>
      <c r="H7" s="219"/>
      <c r="I7" s="1">
        <v>1</v>
      </c>
      <c r="J7" s="117">
        <v>450149654</v>
      </c>
      <c r="K7" s="118">
        <v>503522558</v>
      </c>
    </row>
    <row r="8" spans="1:11" ht="12.75">
      <c r="A8" s="218" t="s">
        <v>33</v>
      </c>
      <c r="B8" s="219"/>
      <c r="C8" s="219"/>
      <c r="D8" s="219"/>
      <c r="E8" s="219"/>
      <c r="F8" s="219"/>
      <c r="G8" s="219"/>
      <c r="H8" s="219"/>
      <c r="I8" s="1">
        <v>2</v>
      </c>
      <c r="J8" s="118">
        <v>215613149.1</v>
      </c>
      <c r="K8" s="118">
        <v>253711399</v>
      </c>
    </row>
    <row r="9" spans="1:11" ht="12.75">
      <c r="A9" s="218" t="s">
        <v>34</v>
      </c>
      <c r="B9" s="219"/>
      <c r="C9" s="219"/>
      <c r="D9" s="219"/>
      <c r="E9" s="219"/>
      <c r="F9" s="219"/>
      <c r="G9" s="219"/>
      <c r="H9" s="219"/>
      <c r="I9" s="1">
        <v>3</v>
      </c>
      <c r="J9" s="118">
        <v>59292838.11</v>
      </c>
      <c r="K9" s="118">
        <v>62199491</v>
      </c>
    </row>
    <row r="10" spans="1:11" ht="12.75">
      <c r="A10" s="218" t="s">
        <v>35</v>
      </c>
      <c r="B10" s="219"/>
      <c r="C10" s="219"/>
      <c r="D10" s="219"/>
      <c r="E10" s="219"/>
      <c r="F10" s="219"/>
      <c r="G10" s="219"/>
      <c r="H10" s="219"/>
      <c r="I10" s="1">
        <v>4</v>
      </c>
      <c r="J10" s="119"/>
      <c r="K10" s="118"/>
    </row>
    <row r="11" spans="1:11" ht="12.75">
      <c r="A11" s="218" t="s">
        <v>36</v>
      </c>
      <c r="B11" s="219"/>
      <c r="C11" s="219"/>
      <c r="D11" s="219"/>
      <c r="E11" s="219"/>
      <c r="F11" s="219"/>
      <c r="G11" s="219"/>
      <c r="H11" s="219"/>
      <c r="I11" s="1">
        <v>5</v>
      </c>
      <c r="J11" s="118">
        <v>945450.38</v>
      </c>
      <c r="K11" s="118">
        <v>3953672</v>
      </c>
    </row>
    <row r="12" spans="1:12" ht="12.75">
      <c r="A12" s="218" t="s">
        <v>42</v>
      </c>
      <c r="B12" s="219"/>
      <c r="C12" s="219"/>
      <c r="D12" s="219"/>
      <c r="E12" s="219"/>
      <c r="F12" s="219"/>
      <c r="G12" s="219"/>
      <c r="H12" s="219"/>
      <c r="I12" s="1">
        <v>6</v>
      </c>
      <c r="J12" s="6"/>
      <c r="K12" s="118"/>
      <c r="L12" s="109">
        <v>14878204</v>
      </c>
    </row>
    <row r="13" spans="1:11" ht="12.75">
      <c r="A13" s="207" t="s">
        <v>145</v>
      </c>
      <c r="B13" s="208"/>
      <c r="C13" s="208"/>
      <c r="D13" s="208"/>
      <c r="E13" s="208"/>
      <c r="F13" s="208"/>
      <c r="G13" s="208"/>
      <c r="H13" s="208"/>
      <c r="I13" s="1">
        <v>7</v>
      </c>
      <c r="J13" s="47">
        <f>SUM(J7:J12)</f>
        <v>726001091.59</v>
      </c>
      <c r="K13" s="47">
        <f>SUM(K7:K12)</f>
        <v>823387120</v>
      </c>
    </row>
    <row r="14" spans="1:11" ht="12.75">
      <c r="A14" s="218" t="s">
        <v>43</v>
      </c>
      <c r="B14" s="219"/>
      <c r="C14" s="219"/>
      <c r="D14" s="219"/>
      <c r="E14" s="219"/>
      <c r="F14" s="219"/>
      <c r="G14" s="219"/>
      <c r="H14" s="219"/>
      <c r="I14" s="1">
        <v>8</v>
      </c>
      <c r="J14" s="6"/>
      <c r="K14" s="132"/>
    </row>
    <row r="15" spans="1:11" ht="12.75">
      <c r="A15" s="218" t="s">
        <v>44</v>
      </c>
      <c r="B15" s="219"/>
      <c r="C15" s="219"/>
      <c r="D15" s="219"/>
      <c r="E15" s="219"/>
      <c r="F15" s="219"/>
      <c r="G15" s="219"/>
      <c r="H15" s="219"/>
      <c r="I15" s="1">
        <v>9</v>
      </c>
      <c r="J15" s="118">
        <v>83837226</v>
      </c>
      <c r="K15" s="132">
        <v>91181527</v>
      </c>
    </row>
    <row r="16" spans="1:11" ht="12.75">
      <c r="A16" s="218" t="s">
        <v>45</v>
      </c>
      <c r="B16" s="219"/>
      <c r="C16" s="219"/>
      <c r="D16" s="219"/>
      <c r="E16" s="219"/>
      <c r="F16" s="219"/>
      <c r="G16" s="219"/>
      <c r="H16" s="219"/>
      <c r="I16" s="1">
        <v>10</v>
      </c>
      <c r="J16" s="118"/>
      <c r="K16" s="132"/>
    </row>
    <row r="17" spans="1:11" ht="12.75">
      <c r="A17" s="218" t="s">
        <v>46</v>
      </c>
      <c r="B17" s="219"/>
      <c r="C17" s="219"/>
      <c r="D17" s="219"/>
      <c r="E17" s="219"/>
      <c r="F17" s="219"/>
      <c r="G17" s="219"/>
      <c r="H17" s="219"/>
      <c r="I17" s="1">
        <v>11</v>
      </c>
      <c r="J17" s="118">
        <v>36471037</v>
      </c>
      <c r="K17" s="132">
        <f>51023368-14878204</f>
        <v>36145164</v>
      </c>
    </row>
    <row r="18" spans="1:11" ht="12.75">
      <c r="A18" s="207" t="s">
        <v>146</v>
      </c>
      <c r="B18" s="208"/>
      <c r="C18" s="208"/>
      <c r="D18" s="208"/>
      <c r="E18" s="208"/>
      <c r="F18" s="208"/>
      <c r="G18" s="208"/>
      <c r="H18" s="208"/>
      <c r="I18" s="1">
        <v>12</v>
      </c>
      <c r="J18" s="47">
        <f>SUM(J14:J17)</f>
        <v>120308263</v>
      </c>
      <c r="K18" s="47">
        <f>SUM(K14:K17)</f>
        <v>127326691</v>
      </c>
    </row>
    <row r="19" spans="1:11" ht="12.75">
      <c r="A19" s="207" t="s">
        <v>326</v>
      </c>
      <c r="B19" s="208"/>
      <c r="C19" s="208"/>
      <c r="D19" s="208"/>
      <c r="E19" s="208"/>
      <c r="F19" s="208"/>
      <c r="G19" s="208"/>
      <c r="H19" s="209"/>
      <c r="I19" s="1">
        <v>13</v>
      </c>
      <c r="J19" s="47">
        <f>IF(J13&gt;J18,J13-J18,0)</f>
        <v>605692828.59</v>
      </c>
      <c r="K19" s="47">
        <f>IF(K13&gt;K18,K13-K18,0)</f>
        <v>696060429</v>
      </c>
    </row>
    <row r="20" spans="1:11" ht="12.75">
      <c r="A20" s="221" t="s">
        <v>327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47">
        <f>IF(J18&gt;J13,J18-J13,0)</f>
        <v>0</v>
      </c>
      <c r="K20" s="47">
        <f>IF(K18&gt;K13,K18-K13,0)</f>
        <v>0</v>
      </c>
    </row>
    <row r="21" spans="1:11" ht="12.75">
      <c r="A21" s="224" t="s">
        <v>147</v>
      </c>
      <c r="B21" s="235"/>
      <c r="C21" s="235"/>
      <c r="D21" s="235"/>
      <c r="E21" s="235"/>
      <c r="F21" s="235"/>
      <c r="G21" s="235"/>
      <c r="H21" s="235"/>
      <c r="I21" s="275"/>
      <c r="J21" s="275"/>
      <c r="K21" s="276"/>
    </row>
    <row r="22" spans="1:11" ht="12.75">
      <c r="A22" s="218" t="s">
        <v>166</v>
      </c>
      <c r="B22" s="219"/>
      <c r="C22" s="219"/>
      <c r="D22" s="219"/>
      <c r="E22" s="219"/>
      <c r="F22" s="219"/>
      <c r="G22" s="219"/>
      <c r="H22" s="219"/>
      <c r="I22" s="1">
        <v>15</v>
      </c>
      <c r="J22" s="6"/>
      <c r="K22" s="6"/>
    </row>
    <row r="23" spans="1:11" ht="12.75">
      <c r="A23" s="218" t="s">
        <v>167</v>
      </c>
      <c r="B23" s="219"/>
      <c r="C23" s="219"/>
      <c r="D23" s="219"/>
      <c r="E23" s="219"/>
      <c r="F23" s="219"/>
      <c r="G23" s="219"/>
      <c r="H23" s="219"/>
      <c r="I23" s="1">
        <v>16</v>
      </c>
      <c r="J23" s="120">
        <v>42284424</v>
      </c>
      <c r="K23" s="6"/>
    </row>
    <row r="24" spans="1:11" ht="12.75">
      <c r="A24" s="218" t="s">
        <v>168</v>
      </c>
      <c r="B24" s="219"/>
      <c r="C24" s="219"/>
      <c r="D24" s="219"/>
      <c r="E24" s="219"/>
      <c r="F24" s="219"/>
      <c r="G24" s="219"/>
      <c r="H24" s="219"/>
      <c r="I24" s="1">
        <v>17</v>
      </c>
      <c r="J24" s="6"/>
      <c r="K24" s="6"/>
    </row>
    <row r="25" spans="1:11" ht="12.75">
      <c r="A25" s="218" t="s">
        <v>169</v>
      </c>
      <c r="B25" s="219"/>
      <c r="C25" s="219"/>
      <c r="D25" s="219"/>
      <c r="E25" s="219"/>
      <c r="F25" s="219"/>
      <c r="G25" s="219"/>
      <c r="H25" s="219"/>
      <c r="I25" s="1">
        <v>18</v>
      </c>
      <c r="J25" s="6"/>
      <c r="K25" s="6"/>
    </row>
    <row r="26" spans="1:11" ht="12.75">
      <c r="A26" s="218" t="s">
        <v>170</v>
      </c>
      <c r="B26" s="219"/>
      <c r="C26" s="219"/>
      <c r="D26" s="219"/>
      <c r="E26" s="219"/>
      <c r="F26" s="219"/>
      <c r="G26" s="219"/>
      <c r="H26" s="219"/>
      <c r="I26" s="1">
        <v>19</v>
      </c>
      <c r="J26" s="120">
        <v>1650144</v>
      </c>
      <c r="K26" s="6"/>
    </row>
    <row r="27" spans="1:11" ht="12.75">
      <c r="A27" s="207" t="s">
        <v>156</v>
      </c>
      <c r="B27" s="208"/>
      <c r="C27" s="208"/>
      <c r="D27" s="208"/>
      <c r="E27" s="208"/>
      <c r="F27" s="208"/>
      <c r="G27" s="208"/>
      <c r="H27" s="208"/>
      <c r="I27" s="1">
        <v>20</v>
      </c>
      <c r="J27" s="47">
        <f>SUM(J22:J26)</f>
        <v>43934568</v>
      </c>
      <c r="K27" s="47">
        <f>SUM(K22:K26)</f>
        <v>0</v>
      </c>
    </row>
    <row r="28" spans="1:11" ht="12.75">
      <c r="A28" s="218" t="s">
        <v>104</v>
      </c>
      <c r="B28" s="219"/>
      <c r="C28" s="219"/>
      <c r="D28" s="219"/>
      <c r="E28" s="219"/>
      <c r="F28" s="219"/>
      <c r="G28" s="219"/>
      <c r="H28" s="219"/>
      <c r="I28" s="1">
        <v>21</v>
      </c>
      <c r="J28" s="120">
        <v>728523341</v>
      </c>
      <c r="K28" s="132">
        <v>511286295</v>
      </c>
    </row>
    <row r="29" spans="1:11" ht="12.75">
      <c r="A29" s="218" t="s">
        <v>105</v>
      </c>
      <c r="B29" s="219"/>
      <c r="C29" s="219"/>
      <c r="D29" s="219"/>
      <c r="E29" s="219"/>
      <c r="F29" s="219"/>
      <c r="G29" s="219"/>
      <c r="H29" s="219"/>
      <c r="I29" s="1">
        <v>22</v>
      </c>
      <c r="J29" s="6"/>
      <c r="K29" s="132">
        <v>157528743</v>
      </c>
    </row>
    <row r="30" spans="1:11" ht="12.75">
      <c r="A30" s="218" t="s">
        <v>14</v>
      </c>
      <c r="B30" s="219"/>
      <c r="C30" s="219"/>
      <c r="D30" s="219"/>
      <c r="E30" s="219"/>
      <c r="F30" s="219"/>
      <c r="G30" s="219"/>
      <c r="H30" s="219"/>
      <c r="I30" s="1">
        <v>23</v>
      </c>
      <c r="J30" s="6"/>
      <c r="K30" s="132">
        <v>81024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47">
        <f>SUM(J28:J30)</f>
        <v>728523341</v>
      </c>
      <c r="K31" s="47">
        <f>SUM(K28:K30)</f>
        <v>668896062</v>
      </c>
    </row>
    <row r="32" spans="1:11" ht="12.75">
      <c r="A32" s="207" t="s">
        <v>328</v>
      </c>
      <c r="B32" s="208"/>
      <c r="C32" s="208"/>
      <c r="D32" s="208"/>
      <c r="E32" s="208"/>
      <c r="F32" s="208"/>
      <c r="G32" s="208"/>
      <c r="H32" s="209"/>
      <c r="I32" s="1">
        <v>25</v>
      </c>
      <c r="J32" s="47">
        <f>IF(J27&gt;J31,J27-J31,0)</f>
        <v>0</v>
      </c>
      <c r="K32" s="47">
        <f>IF(K27&gt;K31,K27-K31,0)</f>
        <v>0</v>
      </c>
    </row>
    <row r="33" spans="1:11" ht="12.75">
      <c r="A33" s="221" t="s">
        <v>329</v>
      </c>
      <c r="B33" s="222"/>
      <c r="C33" s="222"/>
      <c r="D33" s="222"/>
      <c r="E33" s="222"/>
      <c r="F33" s="222"/>
      <c r="G33" s="222"/>
      <c r="H33" s="223"/>
      <c r="I33" s="1">
        <v>26</v>
      </c>
      <c r="J33" s="47">
        <f>IF(J31&gt;J27,J31-J27,0)</f>
        <v>684588773</v>
      </c>
      <c r="K33" s="47">
        <f>IF(K31&gt;K27,K31-K27,0)</f>
        <v>668896062</v>
      </c>
    </row>
    <row r="34" spans="1:11" ht="12.75">
      <c r="A34" s="224" t="s">
        <v>148</v>
      </c>
      <c r="B34" s="235"/>
      <c r="C34" s="235"/>
      <c r="D34" s="235"/>
      <c r="E34" s="235"/>
      <c r="F34" s="235"/>
      <c r="G34" s="235"/>
      <c r="H34" s="235"/>
      <c r="I34" s="275"/>
      <c r="J34" s="275"/>
      <c r="K34" s="276"/>
    </row>
    <row r="35" spans="1:11" ht="12.75">
      <c r="A35" s="218" t="s">
        <v>162</v>
      </c>
      <c r="B35" s="219"/>
      <c r="C35" s="219"/>
      <c r="D35" s="219"/>
      <c r="E35" s="219"/>
      <c r="F35" s="219"/>
      <c r="G35" s="219"/>
      <c r="H35" s="219"/>
      <c r="I35" s="1">
        <v>27</v>
      </c>
      <c r="J35" s="120">
        <v>1640052</v>
      </c>
      <c r="K35" s="133"/>
    </row>
    <row r="36" spans="1:11" ht="12.75">
      <c r="A36" s="218" t="s">
        <v>25</v>
      </c>
      <c r="B36" s="219"/>
      <c r="C36" s="219"/>
      <c r="D36" s="219"/>
      <c r="E36" s="219"/>
      <c r="F36" s="219"/>
      <c r="G36" s="219"/>
      <c r="H36" s="219"/>
      <c r="I36" s="1">
        <v>28</v>
      </c>
      <c r="J36" s="120">
        <v>233545474</v>
      </c>
      <c r="K36" s="132">
        <v>187569338</v>
      </c>
    </row>
    <row r="37" spans="1:11" ht="12.75">
      <c r="A37" s="218" t="s">
        <v>26</v>
      </c>
      <c r="B37" s="219"/>
      <c r="C37" s="219"/>
      <c r="D37" s="219"/>
      <c r="E37" s="219"/>
      <c r="F37" s="219"/>
      <c r="G37" s="219"/>
      <c r="H37" s="219"/>
      <c r="I37" s="1">
        <v>29</v>
      </c>
      <c r="J37" s="120">
        <v>21944</v>
      </c>
      <c r="K37" s="132">
        <f>1368036+132342+331293</f>
        <v>1831671</v>
      </c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47">
        <f>SUM(J35:J37)</f>
        <v>235207470</v>
      </c>
      <c r="K38" s="47">
        <f>SUM(K35:K37)</f>
        <v>189401009</v>
      </c>
    </row>
    <row r="39" spans="1:11" ht="12.75">
      <c r="A39" s="218" t="s">
        <v>27</v>
      </c>
      <c r="B39" s="219"/>
      <c r="C39" s="219"/>
      <c r="D39" s="219"/>
      <c r="E39" s="219"/>
      <c r="F39" s="219"/>
      <c r="G39" s="219"/>
      <c r="H39" s="219"/>
      <c r="I39" s="1">
        <v>31</v>
      </c>
      <c r="J39" s="6"/>
      <c r="K39" s="132"/>
    </row>
    <row r="40" spans="1:11" ht="12.75">
      <c r="A40" s="218" t="s">
        <v>28</v>
      </c>
      <c r="B40" s="219"/>
      <c r="C40" s="219"/>
      <c r="D40" s="219"/>
      <c r="E40" s="219"/>
      <c r="F40" s="219"/>
      <c r="G40" s="219"/>
      <c r="H40" s="219"/>
      <c r="I40" s="1">
        <v>32</v>
      </c>
      <c r="J40" s="136">
        <v>98342354</v>
      </c>
      <c r="K40" s="132">
        <v>111730149</v>
      </c>
    </row>
    <row r="41" spans="1:11" ht="12.75">
      <c r="A41" s="218" t="s">
        <v>29</v>
      </c>
      <c r="B41" s="219"/>
      <c r="C41" s="219"/>
      <c r="D41" s="219"/>
      <c r="E41" s="219"/>
      <c r="F41" s="219"/>
      <c r="G41" s="219"/>
      <c r="H41" s="219"/>
      <c r="I41" s="1">
        <v>33</v>
      </c>
      <c r="J41" s="6"/>
      <c r="K41" s="132"/>
    </row>
    <row r="42" spans="1:11" ht="12.75">
      <c r="A42" s="218" t="s">
        <v>30</v>
      </c>
      <c r="B42" s="219"/>
      <c r="C42" s="219"/>
      <c r="D42" s="219"/>
      <c r="E42" s="219"/>
      <c r="F42" s="219"/>
      <c r="G42" s="219"/>
      <c r="H42" s="219"/>
      <c r="I42" s="1">
        <v>34</v>
      </c>
      <c r="K42" s="132">
        <v>15112772</v>
      </c>
    </row>
    <row r="43" spans="1:11" ht="12.75">
      <c r="A43" s="218" t="s">
        <v>31</v>
      </c>
      <c r="B43" s="219"/>
      <c r="C43" s="219"/>
      <c r="D43" s="219"/>
      <c r="E43" s="219"/>
      <c r="F43" s="219"/>
      <c r="G43" s="219"/>
      <c r="H43" s="219"/>
      <c r="I43" s="1">
        <v>35</v>
      </c>
      <c r="J43" s="120">
        <v>10214959</v>
      </c>
      <c r="K43" s="132"/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47">
        <f>SUM(J39:J43)</f>
        <v>108557313</v>
      </c>
      <c r="K44" s="47">
        <f>SUM(K39:K43)</f>
        <v>126842921</v>
      </c>
    </row>
    <row r="45" spans="1:11" ht="12.75">
      <c r="A45" s="251" t="s">
        <v>330</v>
      </c>
      <c r="B45" s="252"/>
      <c r="C45" s="252"/>
      <c r="D45" s="252"/>
      <c r="E45" s="252"/>
      <c r="F45" s="252"/>
      <c r="G45" s="252"/>
      <c r="H45" s="253"/>
      <c r="I45" s="1">
        <v>37</v>
      </c>
      <c r="J45" s="47">
        <f>IF(J38&gt;J44,J38-J44,0)</f>
        <v>126650157</v>
      </c>
      <c r="K45" s="47">
        <f>IF(K38&gt;K44,K38-K44,0)</f>
        <v>62558088</v>
      </c>
    </row>
    <row r="46" spans="1:11" ht="12.75">
      <c r="A46" s="251" t="s">
        <v>331</v>
      </c>
      <c r="B46" s="252"/>
      <c r="C46" s="252"/>
      <c r="D46" s="252"/>
      <c r="E46" s="252"/>
      <c r="F46" s="252"/>
      <c r="G46" s="252"/>
      <c r="H46" s="253"/>
      <c r="I46" s="1">
        <v>38</v>
      </c>
      <c r="J46" s="47">
        <f>IF(J44&gt;J38,J44-J38,0)</f>
        <v>0</v>
      </c>
      <c r="K46" s="47">
        <f>IF(K44&gt;K38,K44-K38,0)</f>
        <v>0</v>
      </c>
    </row>
    <row r="47" spans="1:11" ht="12.75">
      <c r="A47" s="218" t="s">
        <v>340</v>
      </c>
      <c r="B47" s="219"/>
      <c r="C47" s="219"/>
      <c r="D47" s="219"/>
      <c r="E47" s="219"/>
      <c r="F47" s="219"/>
      <c r="G47" s="219"/>
      <c r="H47" s="219"/>
      <c r="I47" s="1">
        <v>39</v>
      </c>
      <c r="J47" s="47">
        <f>IF(J19-J20+J32-J33+J45-J46&gt;0,J19-J20+J32-J33+J45-J46,0)</f>
        <v>47754212.59000003</v>
      </c>
      <c r="K47" s="47">
        <f>IF(K19-K20+K32-K33+K45-K46&gt;0,K19-K20+K32-K33+K45-K46,0)</f>
        <v>89722455</v>
      </c>
    </row>
    <row r="48" spans="1:11" ht="12.75">
      <c r="A48" s="218" t="s">
        <v>341</v>
      </c>
      <c r="B48" s="219"/>
      <c r="C48" s="219"/>
      <c r="D48" s="219"/>
      <c r="E48" s="219"/>
      <c r="F48" s="219"/>
      <c r="G48" s="219"/>
      <c r="H48" s="219"/>
      <c r="I48" s="1">
        <v>40</v>
      </c>
      <c r="J48" s="47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>
      <c r="A49" s="218" t="s">
        <v>149</v>
      </c>
      <c r="B49" s="219"/>
      <c r="C49" s="219"/>
      <c r="D49" s="219"/>
      <c r="E49" s="219"/>
      <c r="F49" s="219"/>
      <c r="G49" s="219"/>
      <c r="H49" s="219"/>
      <c r="I49" s="1">
        <v>41</v>
      </c>
      <c r="J49" s="120">
        <v>237647697</v>
      </c>
      <c r="K49" s="132">
        <v>237400810.31</v>
      </c>
    </row>
    <row r="50" spans="1:11" ht="12.75">
      <c r="A50" s="218" t="s">
        <v>344</v>
      </c>
      <c r="B50" s="219"/>
      <c r="C50" s="219"/>
      <c r="D50" s="219"/>
      <c r="E50" s="219"/>
      <c r="F50" s="219"/>
      <c r="G50" s="219"/>
      <c r="H50" s="219"/>
      <c r="I50" s="1">
        <v>42</v>
      </c>
      <c r="J50" s="6">
        <f>+J47</f>
        <v>47754212.59000003</v>
      </c>
      <c r="K50" s="6">
        <f>+K47</f>
        <v>89722455</v>
      </c>
    </row>
    <row r="51" spans="1:13" ht="12.75">
      <c r="A51" s="218" t="s">
        <v>164</v>
      </c>
      <c r="B51" s="219"/>
      <c r="C51" s="219"/>
      <c r="D51" s="219"/>
      <c r="E51" s="219"/>
      <c r="F51" s="219"/>
      <c r="G51" s="219"/>
      <c r="H51" s="219"/>
      <c r="I51" s="1">
        <v>43</v>
      </c>
      <c r="J51" s="6">
        <f>+J48</f>
        <v>0</v>
      </c>
      <c r="K51" s="6">
        <f>+K48</f>
        <v>0</v>
      </c>
      <c r="M51" s="108"/>
    </row>
    <row r="52" spans="1:11" ht="12.75">
      <c r="A52" s="240" t="s">
        <v>165</v>
      </c>
      <c r="B52" s="241"/>
      <c r="C52" s="241"/>
      <c r="D52" s="241"/>
      <c r="E52" s="241"/>
      <c r="F52" s="241"/>
      <c r="G52" s="241"/>
      <c r="H52" s="241"/>
      <c r="I52" s="4">
        <v>44</v>
      </c>
      <c r="J52" s="55">
        <f>J49+J50-J51</f>
        <v>285401909.59000003</v>
      </c>
      <c r="K52" s="55">
        <f>K49+K50-K51</f>
        <v>327123265.31</v>
      </c>
    </row>
    <row r="54" ht="12.75">
      <c r="K54" s="134">
        <f>+K52-Bilanca!K64</f>
        <v>0.3100000023841858</v>
      </c>
    </row>
    <row r="55" ht="12.75">
      <c r="K55" s="134"/>
    </row>
    <row r="56" ht="12.75">
      <c r="K56" s="135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K50:K65536 L1:IV65536 K1:K6 K13 K18:K27 K31:K34 K38 K44:K48 A1:I65536 J1:J41 J43:J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318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6">
      <c r="A4" s="273" t="s">
        <v>50</v>
      </c>
      <c r="B4" s="273"/>
      <c r="C4" s="273"/>
      <c r="D4" s="273"/>
      <c r="E4" s="273"/>
      <c r="F4" s="273"/>
      <c r="G4" s="273"/>
      <c r="H4" s="273"/>
      <c r="I4" s="58" t="s">
        <v>342</v>
      </c>
      <c r="J4" s="58" t="s">
        <v>298</v>
      </c>
      <c r="K4" s="58" t="s">
        <v>299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121">
        <v>2</v>
      </c>
      <c r="J5" s="122" t="s">
        <v>264</v>
      </c>
      <c r="K5" s="122" t="s">
        <v>265</v>
      </c>
    </row>
    <row r="6" spans="1:11" ht="12.75">
      <c r="A6" s="224" t="s">
        <v>144</v>
      </c>
      <c r="B6" s="235"/>
      <c r="C6" s="235"/>
      <c r="D6" s="235"/>
      <c r="E6" s="235"/>
      <c r="F6" s="235"/>
      <c r="G6" s="235"/>
      <c r="H6" s="235"/>
      <c r="I6" s="280"/>
      <c r="J6" s="280"/>
      <c r="K6" s="281"/>
    </row>
    <row r="7" spans="1:11" ht="12.75">
      <c r="A7" s="218" t="s">
        <v>185</v>
      </c>
      <c r="B7" s="219"/>
      <c r="C7" s="219"/>
      <c r="D7" s="219"/>
      <c r="E7" s="219"/>
      <c r="F7" s="219"/>
      <c r="G7" s="219"/>
      <c r="H7" s="219"/>
      <c r="I7" s="1">
        <v>1</v>
      </c>
      <c r="J7" s="123"/>
      <c r="K7" s="124"/>
    </row>
    <row r="8" spans="1:11" ht="12.75">
      <c r="A8" s="218" t="s">
        <v>108</v>
      </c>
      <c r="B8" s="219"/>
      <c r="C8" s="219"/>
      <c r="D8" s="219"/>
      <c r="E8" s="219"/>
      <c r="F8" s="219"/>
      <c r="G8" s="219"/>
      <c r="H8" s="219"/>
      <c r="I8" s="1">
        <v>2</v>
      </c>
      <c r="J8" s="123"/>
      <c r="K8" s="124"/>
    </row>
    <row r="9" spans="1:11" ht="12.75">
      <c r="A9" s="218" t="s">
        <v>109</v>
      </c>
      <c r="B9" s="219"/>
      <c r="C9" s="219"/>
      <c r="D9" s="219"/>
      <c r="E9" s="219"/>
      <c r="F9" s="219"/>
      <c r="G9" s="219"/>
      <c r="H9" s="219"/>
      <c r="I9" s="1">
        <v>3</v>
      </c>
      <c r="J9" s="123"/>
      <c r="K9" s="124"/>
    </row>
    <row r="10" spans="1:11" ht="12.75">
      <c r="A10" s="218" t="s">
        <v>110</v>
      </c>
      <c r="B10" s="219"/>
      <c r="C10" s="219"/>
      <c r="D10" s="219"/>
      <c r="E10" s="219"/>
      <c r="F10" s="219"/>
      <c r="G10" s="219"/>
      <c r="H10" s="219"/>
      <c r="I10" s="1">
        <v>4</v>
      </c>
      <c r="J10" s="123"/>
      <c r="K10" s="124"/>
    </row>
    <row r="11" spans="1:11" ht="12.75">
      <c r="A11" s="218" t="s">
        <v>111</v>
      </c>
      <c r="B11" s="219"/>
      <c r="C11" s="219"/>
      <c r="D11" s="219"/>
      <c r="E11" s="219"/>
      <c r="F11" s="219"/>
      <c r="G11" s="219"/>
      <c r="H11" s="219"/>
      <c r="I11" s="1">
        <v>5</v>
      </c>
      <c r="J11" s="123"/>
      <c r="K11" s="124"/>
    </row>
    <row r="12" spans="1:11" ht="12.75">
      <c r="A12" s="207" t="s">
        <v>184</v>
      </c>
      <c r="B12" s="208"/>
      <c r="C12" s="208"/>
      <c r="D12" s="208"/>
      <c r="E12" s="208"/>
      <c r="F12" s="208"/>
      <c r="G12" s="208"/>
      <c r="H12" s="208"/>
      <c r="I12" s="1">
        <v>6</v>
      </c>
      <c r="J12" s="125">
        <f>SUM(J7:J11)</f>
        <v>0</v>
      </c>
      <c r="K12" s="126">
        <f>SUM(K7:K11)</f>
        <v>0</v>
      </c>
    </row>
    <row r="13" spans="1:11" ht="12.75">
      <c r="A13" s="218" t="s">
        <v>112</v>
      </c>
      <c r="B13" s="219"/>
      <c r="C13" s="219"/>
      <c r="D13" s="219"/>
      <c r="E13" s="219"/>
      <c r="F13" s="219"/>
      <c r="G13" s="219"/>
      <c r="H13" s="219"/>
      <c r="I13" s="1">
        <v>7</v>
      </c>
      <c r="J13" s="123"/>
      <c r="K13" s="124"/>
    </row>
    <row r="14" spans="1:11" ht="12.75">
      <c r="A14" s="218" t="s">
        <v>113</v>
      </c>
      <c r="B14" s="219"/>
      <c r="C14" s="219"/>
      <c r="D14" s="219"/>
      <c r="E14" s="219"/>
      <c r="F14" s="219"/>
      <c r="G14" s="219"/>
      <c r="H14" s="219"/>
      <c r="I14" s="1">
        <v>8</v>
      </c>
      <c r="J14" s="123"/>
      <c r="K14" s="124"/>
    </row>
    <row r="15" spans="1:11" ht="12.75">
      <c r="A15" s="218" t="s">
        <v>114</v>
      </c>
      <c r="B15" s="219"/>
      <c r="C15" s="219"/>
      <c r="D15" s="219"/>
      <c r="E15" s="219"/>
      <c r="F15" s="219"/>
      <c r="G15" s="219"/>
      <c r="H15" s="219"/>
      <c r="I15" s="1">
        <v>9</v>
      </c>
      <c r="J15" s="123"/>
      <c r="K15" s="124"/>
    </row>
    <row r="16" spans="1:11" ht="12.75">
      <c r="A16" s="218" t="s">
        <v>115</v>
      </c>
      <c r="B16" s="219"/>
      <c r="C16" s="219"/>
      <c r="D16" s="219"/>
      <c r="E16" s="219"/>
      <c r="F16" s="219"/>
      <c r="G16" s="219"/>
      <c r="H16" s="219"/>
      <c r="I16" s="1">
        <v>10</v>
      </c>
      <c r="J16" s="123"/>
      <c r="K16" s="124"/>
    </row>
    <row r="17" spans="1:11" ht="12.75">
      <c r="A17" s="218" t="s">
        <v>116</v>
      </c>
      <c r="B17" s="219"/>
      <c r="C17" s="219"/>
      <c r="D17" s="219"/>
      <c r="E17" s="219"/>
      <c r="F17" s="219"/>
      <c r="G17" s="219"/>
      <c r="H17" s="219"/>
      <c r="I17" s="1">
        <v>11</v>
      </c>
      <c r="J17" s="123"/>
      <c r="K17" s="124"/>
    </row>
    <row r="18" spans="1:11" ht="12.75">
      <c r="A18" s="218" t="s">
        <v>117</v>
      </c>
      <c r="B18" s="219"/>
      <c r="C18" s="219"/>
      <c r="D18" s="219"/>
      <c r="E18" s="219"/>
      <c r="F18" s="219"/>
      <c r="G18" s="219"/>
      <c r="H18" s="219"/>
      <c r="I18" s="1">
        <v>12</v>
      </c>
      <c r="J18" s="123"/>
      <c r="K18" s="124"/>
    </row>
    <row r="19" spans="1:11" ht="12.75">
      <c r="A19" s="207" t="s">
        <v>38</v>
      </c>
      <c r="B19" s="208"/>
      <c r="C19" s="208"/>
      <c r="D19" s="208"/>
      <c r="E19" s="208"/>
      <c r="F19" s="208"/>
      <c r="G19" s="208"/>
      <c r="H19" s="208"/>
      <c r="I19" s="1">
        <v>13</v>
      </c>
      <c r="J19" s="125">
        <f>SUM(J13:J18)</f>
        <v>0</v>
      </c>
      <c r="K19" s="126">
        <f>SUM(K13:K18)</f>
        <v>0</v>
      </c>
    </row>
    <row r="20" spans="1:11" ht="12.75">
      <c r="A20" s="207" t="s">
        <v>97</v>
      </c>
      <c r="B20" s="282"/>
      <c r="C20" s="282"/>
      <c r="D20" s="282"/>
      <c r="E20" s="282"/>
      <c r="F20" s="282"/>
      <c r="G20" s="282"/>
      <c r="H20" s="283"/>
      <c r="I20" s="1">
        <v>14</v>
      </c>
      <c r="J20" s="125">
        <f>IF(J12&gt;J19,J12-J19,0)</f>
        <v>0</v>
      </c>
      <c r="K20" s="126">
        <f>IF(K12&gt;K19,K12-K19,0)</f>
        <v>0</v>
      </c>
    </row>
    <row r="21" spans="1:11" ht="12.75">
      <c r="A21" s="221" t="s">
        <v>98</v>
      </c>
      <c r="B21" s="284"/>
      <c r="C21" s="284"/>
      <c r="D21" s="284"/>
      <c r="E21" s="284"/>
      <c r="F21" s="284"/>
      <c r="G21" s="284"/>
      <c r="H21" s="285"/>
      <c r="I21" s="1">
        <v>15</v>
      </c>
      <c r="J21" s="125">
        <f>IF(J19&gt;J12,J19-J12,0)</f>
        <v>0</v>
      </c>
      <c r="K21" s="126">
        <f>IF(K19&gt;K12,K19-K12,0)</f>
        <v>0</v>
      </c>
    </row>
    <row r="22" spans="1:11" ht="12.75">
      <c r="A22" s="224" t="s">
        <v>147</v>
      </c>
      <c r="B22" s="235"/>
      <c r="C22" s="235"/>
      <c r="D22" s="235"/>
      <c r="E22" s="235"/>
      <c r="F22" s="235"/>
      <c r="G22" s="235"/>
      <c r="H22" s="235"/>
      <c r="I22" s="280"/>
      <c r="J22" s="280"/>
      <c r="K22" s="281"/>
    </row>
    <row r="23" spans="1:11" ht="12.75">
      <c r="A23" s="218" t="s">
        <v>153</v>
      </c>
      <c r="B23" s="219"/>
      <c r="C23" s="219"/>
      <c r="D23" s="219"/>
      <c r="E23" s="219"/>
      <c r="F23" s="219"/>
      <c r="G23" s="219"/>
      <c r="H23" s="219"/>
      <c r="I23" s="1">
        <v>16</v>
      </c>
      <c r="J23" s="123"/>
      <c r="K23" s="124"/>
    </row>
    <row r="24" spans="1:11" ht="12.75">
      <c r="A24" s="218" t="s">
        <v>154</v>
      </c>
      <c r="B24" s="219"/>
      <c r="C24" s="219"/>
      <c r="D24" s="219"/>
      <c r="E24" s="219"/>
      <c r="F24" s="219"/>
      <c r="G24" s="219"/>
      <c r="H24" s="219"/>
      <c r="I24" s="1">
        <v>17</v>
      </c>
      <c r="J24" s="123"/>
      <c r="K24" s="124"/>
    </row>
    <row r="25" spans="1:11" ht="12.75">
      <c r="A25" s="218" t="s">
        <v>300</v>
      </c>
      <c r="B25" s="219"/>
      <c r="C25" s="219"/>
      <c r="D25" s="219"/>
      <c r="E25" s="219"/>
      <c r="F25" s="219"/>
      <c r="G25" s="219"/>
      <c r="H25" s="219"/>
      <c r="I25" s="1">
        <v>18</v>
      </c>
      <c r="J25" s="123"/>
      <c r="K25" s="124"/>
    </row>
    <row r="26" spans="1:11" ht="12.75">
      <c r="A26" s="218" t="s">
        <v>301</v>
      </c>
      <c r="B26" s="219"/>
      <c r="C26" s="219"/>
      <c r="D26" s="219"/>
      <c r="E26" s="219"/>
      <c r="F26" s="219"/>
      <c r="G26" s="219"/>
      <c r="H26" s="219"/>
      <c r="I26" s="1">
        <v>19</v>
      </c>
      <c r="J26" s="123"/>
      <c r="K26" s="124"/>
    </row>
    <row r="27" spans="1:11" ht="12.75">
      <c r="A27" s="218" t="s">
        <v>155</v>
      </c>
      <c r="B27" s="219"/>
      <c r="C27" s="219"/>
      <c r="D27" s="219"/>
      <c r="E27" s="219"/>
      <c r="F27" s="219"/>
      <c r="G27" s="219"/>
      <c r="H27" s="219"/>
      <c r="I27" s="1">
        <v>20</v>
      </c>
      <c r="J27" s="123"/>
      <c r="K27" s="124"/>
    </row>
    <row r="28" spans="1:11" ht="12.75">
      <c r="A28" s="207" t="s">
        <v>103</v>
      </c>
      <c r="B28" s="208"/>
      <c r="C28" s="208"/>
      <c r="D28" s="208"/>
      <c r="E28" s="208"/>
      <c r="F28" s="208"/>
      <c r="G28" s="208"/>
      <c r="H28" s="208"/>
      <c r="I28" s="1">
        <v>21</v>
      </c>
      <c r="J28" s="125">
        <f>SUM(J23:J27)</f>
        <v>0</v>
      </c>
      <c r="K28" s="126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123"/>
      <c r="K29" s="124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123"/>
      <c r="K30" s="124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123"/>
      <c r="K31" s="124"/>
    </row>
    <row r="32" spans="1:11" ht="12.75">
      <c r="A32" s="207" t="s">
        <v>39</v>
      </c>
      <c r="B32" s="208"/>
      <c r="C32" s="208"/>
      <c r="D32" s="208"/>
      <c r="E32" s="208"/>
      <c r="F32" s="208"/>
      <c r="G32" s="208"/>
      <c r="H32" s="208"/>
      <c r="I32" s="1">
        <v>25</v>
      </c>
      <c r="J32" s="125">
        <f>SUM(J29:J31)</f>
        <v>0</v>
      </c>
      <c r="K32" s="126">
        <f>SUM(K29:K31)</f>
        <v>0</v>
      </c>
    </row>
    <row r="33" spans="1:11" ht="12.75">
      <c r="A33" s="207" t="s">
        <v>99</v>
      </c>
      <c r="B33" s="208"/>
      <c r="C33" s="208"/>
      <c r="D33" s="208"/>
      <c r="E33" s="208"/>
      <c r="F33" s="208"/>
      <c r="G33" s="208"/>
      <c r="H33" s="208"/>
      <c r="I33" s="1">
        <v>26</v>
      </c>
      <c r="J33" s="125">
        <f>IF(J28&gt;J32,J28-J32,0)</f>
        <v>0</v>
      </c>
      <c r="K33" s="126">
        <f>IF(K28&gt;K32,K28-K32,0)</f>
        <v>0</v>
      </c>
    </row>
    <row r="34" spans="1:11" ht="12.75">
      <c r="A34" s="207" t="s">
        <v>100</v>
      </c>
      <c r="B34" s="208"/>
      <c r="C34" s="208"/>
      <c r="D34" s="208"/>
      <c r="E34" s="208"/>
      <c r="F34" s="208"/>
      <c r="G34" s="208"/>
      <c r="H34" s="208"/>
      <c r="I34" s="1">
        <v>27</v>
      </c>
      <c r="J34" s="125">
        <f>IF(J32&gt;J28,J32-J28,0)</f>
        <v>0</v>
      </c>
      <c r="K34" s="126">
        <f>IF(K32&gt;K28,K32-K28,0)</f>
        <v>0</v>
      </c>
    </row>
    <row r="35" spans="1:11" ht="12.75">
      <c r="A35" s="224" t="s">
        <v>148</v>
      </c>
      <c r="B35" s="235"/>
      <c r="C35" s="235"/>
      <c r="D35" s="235"/>
      <c r="E35" s="235"/>
      <c r="F35" s="235"/>
      <c r="G35" s="235"/>
      <c r="H35" s="235"/>
      <c r="I35" s="280">
        <v>0</v>
      </c>
      <c r="J35" s="280"/>
      <c r="K35" s="281"/>
    </row>
    <row r="36" spans="1:11" ht="12.75">
      <c r="A36" s="218" t="s">
        <v>162</v>
      </c>
      <c r="B36" s="219"/>
      <c r="C36" s="219"/>
      <c r="D36" s="219"/>
      <c r="E36" s="219"/>
      <c r="F36" s="219"/>
      <c r="G36" s="219"/>
      <c r="H36" s="219"/>
      <c r="I36" s="1">
        <v>28</v>
      </c>
      <c r="J36" s="123"/>
      <c r="K36" s="124"/>
    </row>
    <row r="37" spans="1:11" ht="12.75">
      <c r="A37" s="218" t="s">
        <v>25</v>
      </c>
      <c r="B37" s="219"/>
      <c r="C37" s="219"/>
      <c r="D37" s="219"/>
      <c r="E37" s="219"/>
      <c r="F37" s="219"/>
      <c r="G37" s="219"/>
      <c r="H37" s="219"/>
      <c r="I37" s="1">
        <v>29</v>
      </c>
      <c r="J37" s="123"/>
      <c r="K37" s="124"/>
    </row>
    <row r="38" spans="1:11" ht="12.75">
      <c r="A38" s="218" t="s">
        <v>26</v>
      </c>
      <c r="B38" s="219"/>
      <c r="C38" s="219"/>
      <c r="D38" s="219"/>
      <c r="E38" s="219"/>
      <c r="F38" s="219"/>
      <c r="G38" s="219"/>
      <c r="H38" s="219"/>
      <c r="I38" s="1">
        <v>30</v>
      </c>
      <c r="J38" s="123"/>
      <c r="K38" s="124"/>
    </row>
    <row r="39" spans="1:11" ht="12.75">
      <c r="A39" s="207" t="s">
        <v>40</v>
      </c>
      <c r="B39" s="208"/>
      <c r="C39" s="208"/>
      <c r="D39" s="208"/>
      <c r="E39" s="208"/>
      <c r="F39" s="208"/>
      <c r="G39" s="208"/>
      <c r="H39" s="208"/>
      <c r="I39" s="1">
        <v>31</v>
      </c>
      <c r="J39" s="125">
        <f>SUM(J36:J38)</f>
        <v>0</v>
      </c>
      <c r="K39" s="126">
        <f>SUM(K36:K38)</f>
        <v>0</v>
      </c>
    </row>
    <row r="40" spans="1:11" ht="12.75">
      <c r="A40" s="218" t="s">
        <v>27</v>
      </c>
      <c r="B40" s="219"/>
      <c r="C40" s="219"/>
      <c r="D40" s="219"/>
      <c r="E40" s="219"/>
      <c r="F40" s="219"/>
      <c r="G40" s="219"/>
      <c r="H40" s="219"/>
      <c r="I40" s="1">
        <v>32</v>
      </c>
      <c r="J40" s="123"/>
      <c r="K40" s="124"/>
    </row>
    <row r="41" spans="1:11" ht="12.75">
      <c r="A41" s="218" t="s">
        <v>28</v>
      </c>
      <c r="B41" s="219"/>
      <c r="C41" s="219"/>
      <c r="D41" s="219"/>
      <c r="E41" s="219"/>
      <c r="F41" s="219"/>
      <c r="G41" s="219"/>
      <c r="H41" s="219"/>
      <c r="I41" s="1">
        <v>33</v>
      </c>
      <c r="J41" s="123"/>
      <c r="K41" s="124"/>
    </row>
    <row r="42" spans="1:11" ht="12.75">
      <c r="A42" s="218" t="s">
        <v>29</v>
      </c>
      <c r="B42" s="219"/>
      <c r="C42" s="219"/>
      <c r="D42" s="219"/>
      <c r="E42" s="219"/>
      <c r="F42" s="219"/>
      <c r="G42" s="219"/>
      <c r="H42" s="219"/>
      <c r="I42" s="1">
        <v>34</v>
      </c>
      <c r="J42" s="123"/>
      <c r="K42" s="124"/>
    </row>
    <row r="43" spans="1:11" ht="12.75">
      <c r="A43" s="218" t="s">
        <v>30</v>
      </c>
      <c r="B43" s="219"/>
      <c r="C43" s="219"/>
      <c r="D43" s="219"/>
      <c r="E43" s="219"/>
      <c r="F43" s="219"/>
      <c r="G43" s="219"/>
      <c r="H43" s="219"/>
      <c r="I43" s="1">
        <v>35</v>
      </c>
      <c r="J43" s="123"/>
      <c r="K43" s="124"/>
    </row>
    <row r="44" spans="1:11" ht="12.75">
      <c r="A44" s="218" t="s">
        <v>31</v>
      </c>
      <c r="B44" s="219"/>
      <c r="C44" s="219"/>
      <c r="D44" s="219"/>
      <c r="E44" s="219"/>
      <c r="F44" s="219"/>
      <c r="G44" s="219"/>
      <c r="H44" s="219"/>
      <c r="I44" s="1">
        <v>36</v>
      </c>
      <c r="J44" s="123"/>
      <c r="K44" s="124"/>
    </row>
    <row r="45" spans="1:11" ht="12.75">
      <c r="A45" s="207" t="s">
        <v>137</v>
      </c>
      <c r="B45" s="208"/>
      <c r="C45" s="208"/>
      <c r="D45" s="208"/>
      <c r="E45" s="208"/>
      <c r="F45" s="208"/>
      <c r="G45" s="208"/>
      <c r="H45" s="208"/>
      <c r="I45" s="1">
        <v>37</v>
      </c>
      <c r="J45" s="125">
        <f>SUM(J40:J44)</f>
        <v>0</v>
      </c>
      <c r="K45" s="126">
        <f>SUM(K40:K44)</f>
        <v>0</v>
      </c>
    </row>
    <row r="46" spans="1:11" ht="12.75">
      <c r="A46" s="207" t="s">
        <v>150</v>
      </c>
      <c r="B46" s="208"/>
      <c r="C46" s="208"/>
      <c r="D46" s="208"/>
      <c r="E46" s="208"/>
      <c r="F46" s="208"/>
      <c r="G46" s="208"/>
      <c r="H46" s="208"/>
      <c r="I46" s="1">
        <v>38</v>
      </c>
      <c r="J46" s="125">
        <f>IF(J39&gt;J45,J39-J45,0)</f>
        <v>0</v>
      </c>
      <c r="K46" s="126">
        <f>IF(K39&gt;K45,K39-K45,0)</f>
        <v>0</v>
      </c>
    </row>
    <row r="47" spans="1:11" ht="12.75">
      <c r="A47" s="207" t="s">
        <v>151</v>
      </c>
      <c r="B47" s="208"/>
      <c r="C47" s="208"/>
      <c r="D47" s="208"/>
      <c r="E47" s="208"/>
      <c r="F47" s="208"/>
      <c r="G47" s="208"/>
      <c r="H47" s="208"/>
      <c r="I47" s="1">
        <v>39</v>
      </c>
      <c r="J47" s="125">
        <f>IF(J45&gt;J39,J45-J39,0)</f>
        <v>0</v>
      </c>
      <c r="K47" s="126">
        <f>IF(K45&gt;K39,K45-K39,0)</f>
        <v>0</v>
      </c>
    </row>
    <row r="48" spans="1:11" ht="12.75">
      <c r="A48" s="207" t="s">
        <v>138</v>
      </c>
      <c r="B48" s="208"/>
      <c r="C48" s="208"/>
      <c r="D48" s="208"/>
      <c r="E48" s="208"/>
      <c r="F48" s="208"/>
      <c r="G48" s="208"/>
      <c r="H48" s="208"/>
      <c r="I48" s="1">
        <v>40</v>
      </c>
      <c r="J48" s="125">
        <f>IF(J20-J21+J33-J34+J46-J47&gt;0,J20-J21+J33-J34+J46-J47,0)</f>
        <v>0</v>
      </c>
      <c r="K48" s="126">
        <f>IF(K20-K21+K33-K34+K46-K47&gt;0,K20-K21+K33-K34+K46-K47,0)</f>
        <v>0</v>
      </c>
    </row>
    <row r="49" spans="1:11" ht="12.75">
      <c r="A49" s="207" t="s">
        <v>13</v>
      </c>
      <c r="B49" s="208"/>
      <c r="C49" s="208"/>
      <c r="D49" s="208"/>
      <c r="E49" s="208"/>
      <c r="F49" s="208"/>
      <c r="G49" s="208"/>
      <c r="H49" s="208"/>
      <c r="I49" s="1">
        <v>41</v>
      </c>
      <c r="J49" s="125">
        <f>IF(J21-J20+J34-J33+J47-J46&gt;0,J21-J20+J34-J33+J47-J46,0)</f>
        <v>0</v>
      </c>
      <c r="K49" s="126">
        <f>IF(K21-K20+K34-K33+K47-K46&gt;0,K21-K20+K34-K33+K47-K46,0)</f>
        <v>0</v>
      </c>
    </row>
    <row r="50" spans="1:11" ht="12.75">
      <c r="A50" s="207" t="s">
        <v>149</v>
      </c>
      <c r="B50" s="208"/>
      <c r="C50" s="208"/>
      <c r="D50" s="208"/>
      <c r="E50" s="208"/>
      <c r="F50" s="208"/>
      <c r="G50" s="208"/>
      <c r="H50" s="208"/>
      <c r="I50" s="1">
        <v>42</v>
      </c>
      <c r="J50" s="123"/>
      <c r="K50" s="124"/>
    </row>
    <row r="51" spans="1:11" ht="12.75">
      <c r="A51" s="207" t="s">
        <v>163</v>
      </c>
      <c r="B51" s="208"/>
      <c r="C51" s="208"/>
      <c r="D51" s="208"/>
      <c r="E51" s="208"/>
      <c r="F51" s="208"/>
      <c r="G51" s="208"/>
      <c r="H51" s="208"/>
      <c r="I51" s="1">
        <v>43</v>
      </c>
      <c r="J51" s="123"/>
      <c r="K51" s="124"/>
    </row>
    <row r="52" spans="1:11" ht="12.75">
      <c r="A52" s="207" t="s">
        <v>164</v>
      </c>
      <c r="B52" s="208"/>
      <c r="C52" s="208"/>
      <c r="D52" s="208"/>
      <c r="E52" s="208"/>
      <c r="F52" s="208"/>
      <c r="G52" s="208"/>
      <c r="H52" s="208"/>
      <c r="I52" s="1">
        <v>44</v>
      </c>
      <c r="J52" s="123"/>
      <c r="K52" s="124"/>
    </row>
    <row r="53" spans="1:11" ht="12.75">
      <c r="A53" s="221" t="s">
        <v>165</v>
      </c>
      <c r="B53" s="222"/>
      <c r="C53" s="222"/>
      <c r="D53" s="222"/>
      <c r="E53" s="222"/>
      <c r="F53" s="222"/>
      <c r="G53" s="222"/>
      <c r="H53" s="222"/>
      <c r="I53" s="4">
        <v>45</v>
      </c>
      <c r="J53" s="127">
        <f>J50+J51-J52</f>
        <v>0</v>
      </c>
      <c r="K53" s="128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4" width="9.140625" style="65" customWidth="1"/>
    <col min="5" max="5" width="10.7109375" style="65" bestFit="1" customWidth="1"/>
    <col min="6" max="7" width="9.140625" style="65" customWidth="1"/>
    <col min="8" max="8" width="7.7109375" style="65" customWidth="1"/>
    <col min="9" max="9" width="9.28125" style="65" bestFit="1" customWidth="1"/>
    <col min="10" max="10" width="12.28125" style="65" bestFit="1" customWidth="1"/>
    <col min="11" max="11" width="11.00390625" style="65" bestFit="1" customWidth="1"/>
    <col min="12" max="12" width="13.00390625" style="115" bestFit="1" customWidth="1"/>
    <col min="13" max="16384" width="9.140625" style="65" customWidth="1"/>
  </cols>
  <sheetData>
    <row r="1" spans="1:12" ht="12.75">
      <c r="A1" s="290" t="s">
        <v>262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113"/>
    </row>
    <row r="2" spans="1:12" ht="15.75">
      <c r="A2" s="41"/>
      <c r="B2" s="64"/>
      <c r="C2" s="292" t="s">
        <v>263</v>
      </c>
      <c r="D2" s="292"/>
      <c r="E2" s="110" t="s">
        <v>343</v>
      </c>
      <c r="F2" s="42" t="s">
        <v>231</v>
      </c>
      <c r="G2" s="293" t="s">
        <v>334</v>
      </c>
      <c r="H2" s="294"/>
      <c r="I2" s="64"/>
      <c r="J2" s="64"/>
      <c r="K2" s="64"/>
      <c r="L2" s="114"/>
    </row>
    <row r="3" spans="1:11" ht="24">
      <c r="A3" s="273" t="s">
        <v>50</v>
      </c>
      <c r="B3" s="273"/>
      <c r="C3" s="273"/>
      <c r="D3" s="273"/>
      <c r="E3" s="273"/>
      <c r="F3" s="273"/>
      <c r="G3" s="273"/>
      <c r="H3" s="273"/>
      <c r="I3" s="58" t="s">
        <v>342</v>
      </c>
      <c r="J3" s="58" t="s">
        <v>139</v>
      </c>
      <c r="K3" s="58" t="s">
        <v>140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130">
        <v>2</v>
      </c>
      <c r="J4" s="129" t="s">
        <v>264</v>
      </c>
      <c r="K4" s="129" t="s">
        <v>265</v>
      </c>
    </row>
    <row r="5" spans="1:12" ht="12.75">
      <c r="A5" s="218" t="s">
        <v>266</v>
      </c>
      <c r="B5" s="219"/>
      <c r="C5" s="219"/>
      <c r="D5" s="219"/>
      <c r="E5" s="219"/>
      <c r="F5" s="219"/>
      <c r="G5" s="219"/>
      <c r="H5" s="219"/>
      <c r="I5" s="1">
        <v>1</v>
      </c>
      <c r="J5" s="131">
        <f>+Bilanca!J70</f>
        <v>1672021210</v>
      </c>
      <c r="K5" s="131">
        <f>+Bilanca!K70</f>
        <v>1672021210</v>
      </c>
      <c r="L5" s="116"/>
    </row>
    <row r="6" spans="1:12" ht="12.75">
      <c r="A6" s="218" t="s">
        <v>267</v>
      </c>
      <c r="B6" s="219"/>
      <c r="C6" s="219"/>
      <c r="D6" s="219"/>
      <c r="E6" s="219"/>
      <c r="F6" s="219"/>
      <c r="G6" s="219"/>
      <c r="H6" s="219"/>
      <c r="I6" s="1">
        <v>2</v>
      </c>
      <c r="J6" s="124">
        <f>+Bilanca!J71</f>
        <v>3602906</v>
      </c>
      <c r="K6" s="124">
        <f>+Bilanca!K71</f>
        <v>5302235</v>
      </c>
      <c r="L6" s="116"/>
    </row>
    <row r="7" spans="1:12" ht="12.75">
      <c r="A7" s="218" t="s">
        <v>268</v>
      </c>
      <c r="B7" s="219"/>
      <c r="C7" s="219"/>
      <c r="D7" s="219"/>
      <c r="E7" s="219"/>
      <c r="F7" s="219"/>
      <c r="G7" s="219"/>
      <c r="H7" s="219"/>
      <c r="I7" s="1">
        <v>3</v>
      </c>
      <c r="J7" s="124">
        <f>+Bilanca!J72</f>
        <v>102055847</v>
      </c>
      <c r="K7" s="124">
        <f>+Bilanca!K72</f>
        <v>98943075</v>
      </c>
      <c r="L7" s="116"/>
    </row>
    <row r="8" spans="1:12" ht="12.75">
      <c r="A8" s="218" t="s">
        <v>269</v>
      </c>
      <c r="B8" s="219"/>
      <c r="C8" s="219"/>
      <c r="D8" s="219"/>
      <c r="E8" s="219"/>
      <c r="F8" s="219"/>
      <c r="G8" s="219"/>
      <c r="H8" s="219"/>
      <c r="I8" s="1">
        <v>4</v>
      </c>
      <c r="J8" s="124">
        <f>+Bilanca!J79</f>
        <v>385175162</v>
      </c>
      <c r="K8" s="124">
        <f>+Bilanca!K79</f>
        <v>493424087</v>
      </c>
      <c r="L8" s="116"/>
    </row>
    <row r="9" spans="1:12" ht="12.75">
      <c r="A9" s="218" t="s">
        <v>270</v>
      </c>
      <c r="B9" s="219"/>
      <c r="C9" s="219"/>
      <c r="D9" s="219"/>
      <c r="E9" s="219"/>
      <c r="F9" s="219"/>
      <c r="G9" s="219"/>
      <c r="H9" s="219"/>
      <c r="I9" s="1">
        <v>5</v>
      </c>
      <c r="J9" s="124">
        <f>+Bilanca!J82</f>
        <v>231979074</v>
      </c>
      <c r="K9" s="124">
        <f>+Bilanca!K82</f>
        <v>503522558</v>
      </c>
      <c r="L9" s="116"/>
    </row>
    <row r="10" spans="1:11" ht="12.75">
      <c r="A10" s="218" t="s">
        <v>271</v>
      </c>
      <c r="B10" s="219"/>
      <c r="C10" s="219"/>
      <c r="D10" s="219"/>
      <c r="E10" s="219"/>
      <c r="F10" s="219"/>
      <c r="G10" s="219"/>
      <c r="H10" s="219"/>
      <c r="I10" s="1">
        <v>6</v>
      </c>
      <c r="J10" s="124"/>
      <c r="K10" s="124"/>
    </row>
    <row r="11" spans="1:11" ht="12.75">
      <c r="A11" s="218" t="s">
        <v>272</v>
      </c>
      <c r="B11" s="219"/>
      <c r="C11" s="219"/>
      <c r="D11" s="219"/>
      <c r="E11" s="219"/>
      <c r="F11" s="219"/>
      <c r="G11" s="219"/>
      <c r="H11" s="219"/>
      <c r="I11" s="1">
        <v>7</v>
      </c>
      <c r="J11" s="124"/>
      <c r="K11" s="124"/>
    </row>
    <row r="12" spans="1:12" ht="12.75">
      <c r="A12" s="218" t="s">
        <v>273</v>
      </c>
      <c r="B12" s="219"/>
      <c r="C12" s="219"/>
      <c r="D12" s="219"/>
      <c r="E12" s="219"/>
      <c r="F12" s="219"/>
      <c r="G12" s="219"/>
      <c r="H12" s="219"/>
      <c r="I12" s="1">
        <v>8</v>
      </c>
      <c r="J12" s="124">
        <f>+Bilanca!J78</f>
        <v>634097</v>
      </c>
      <c r="K12" s="124">
        <f>+Bilanca!K78</f>
        <v>766439</v>
      </c>
      <c r="L12" s="116"/>
    </row>
    <row r="13" spans="1:11" ht="12.75">
      <c r="A13" s="218" t="s">
        <v>274</v>
      </c>
      <c r="B13" s="219"/>
      <c r="C13" s="219"/>
      <c r="D13" s="219"/>
      <c r="E13" s="219"/>
      <c r="F13" s="219"/>
      <c r="G13" s="219"/>
      <c r="H13" s="219"/>
      <c r="I13" s="1">
        <v>9</v>
      </c>
      <c r="J13" s="124"/>
      <c r="K13" s="124"/>
    </row>
    <row r="14" spans="1:12" ht="12.75">
      <c r="A14" s="207" t="s">
        <v>275</v>
      </c>
      <c r="B14" s="208"/>
      <c r="C14" s="208"/>
      <c r="D14" s="208"/>
      <c r="E14" s="208"/>
      <c r="F14" s="208"/>
      <c r="G14" s="208"/>
      <c r="H14" s="208"/>
      <c r="I14" s="1">
        <v>10</v>
      </c>
      <c r="J14" s="126">
        <f>SUM(J5:J13)</f>
        <v>2395468296</v>
      </c>
      <c r="K14" s="126">
        <f>SUM(K5:K13)</f>
        <v>2773979604</v>
      </c>
      <c r="L14" s="116"/>
    </row>
    <row r="15" spans="1:11" ht="12.75">
      <c r="A15" s="218" t="s">
        <v>276</v>
      </c>
      <c r="B15" s="219"/>
      <c r="C15" s="219"/>
      <c r="D15" s="219"/>
      <c r="E15" s="219"/>
      <c r="F15" s="219"/>
      <c r="G15" s="219"/>
      <c r="H15" s="219"/>
      <c r="I15" s="1">
        <v>11</v>
      </c>
      <c r="J15" s="124"/>
      <c r="K15" s="124"/>
    </row>
    <row r="16" spans="1:11" ht="12.75">
      <c r="A16" s="218" t="s">
        <v>277</v>
      </c>
      <c r="B16" s="219"/>
      <c r="C16" s="219"/>
      <c r="D16" s="219"/>
      <c r="E16" s="219"/>
      <c r="F16" s="219"/>
      <c r="G16" s="219"/>
      <c r="H16" s="219"/>
      <c r="I16" s="1">
        <v>12</v>
      </c>
      <c r="J16" s="124"/>
      <c r="K16" s="124"/>
    </row>
    <row r="17" spans="1:11" ht="12.75">
      <c r="A17" s="218" t="s">
        <v>278</v>
      </c>
      <c r="B17" s="219"/>
      <c r="C17" s="219"/>
      <c r="D17" s="219"/>
      <c r="E17" s="219"/>
      <c r="F17" s="219"/>
      <c r="G17" s="219"/>
      <c r="H17" s="219"/>
      <c r="I17" s="1">
        <v>13</v>
      </c>
      <c r="J17" s="124"/>
      <c r="K17" s="124"/>
    </row>
    <row r="18" spans="1:11" ht="12.75">
      <c r="A18" s="218" t="s">
        <v>279</v>
      </c>
      <c r="B18" s="219"/>
      <c r="C18" s="219"/>
      <c r="D18" s="219"/>
      <c r="E18" s="219"/>
      <c r="F18" s="219"/>
      <c r="G18" s="219"/>
      <c r="H18" s="219"/>
      <c r="I18" s="1">
        <v>14</v>
      </c>
      <c r="J18" s="124"/>
      <c r="K18" s="124"/>
    </row>
    <row r="19" spans="1:11" ht="12.75">
      <c r="A19" s="218" t="s">
        <v>280</v>
      </c>
      <c r="B19" s="219"/>
      <c r="C19" s="219"/>
      <c r="D19" s="219"/>
      <c r="E19" s="219"/>
      <c r="F19" s="219"/>
      <c r="G19" s="219"/>
      <c r="H19" s="219"/>
      <c r="I19" s="1">
        <v>15</v>
      </c>
      <c r="J19" s="124"/>
      <c r="K19" s="124"/>
    </row>
    <row r="20" spans="1:11" ht="12.75">
      <c r="A20" s="218" t="s">
        <v>281</v>
      </c>
      <c r="B20" s="219"/>
      <c r="C20" s="219"/>
      <c r="D20" s="219"/>
      <c r="E20" s="219"/>
      <c r="F20" s="219"/>
      <c r="G20" s="219"/>
      <c r="H20" s="219"/>
      <c r="I20" s="1">
        <v>16</v>
      </c>
      <c r="J20" s="124"/>
      <c r="K20" s="124"/>
    </row>
    <row r="21" spans="1:11" ht="12.75">
      <c r="A21" s="207" t="s">
        <v>282</v>
      </c>
      <c r="B21" s="208"/>
      <c r="C21" s="208"/>
      <c r="D21" s="208"/>
      <c r="E21" s="208"/>
      <c r="F21" s="208"/>
      <c r="G21" s="208"/>
      <c r="H21" s="208"/>
      <c r="I21" s="1">
        <v>17</v>
      </c>
      <c r="J21" s="128"/>
      <c r="K21" s="128"/>
    </row>
    <row r="22" spans="1:11" ht="12.75">
      <c r="A22" s="224"/>
      <c r="B22" s="235"/>
      <c r="C22" s="235"/>
      <c r="D22" s="235"/>
      <c r="E22" s="235"/>
      <c r="F22" s="235"/>
      <c r="G22" s="235"/>
      <c r="H22" s="235"/>
      <c r="I22" s="280"/>
      <c r="J22" s="280"/>
      <c r="K22" s="281"/>
    </row>
    <row r="23" spans="1:11" ht="12.75">
      <c r="A23" s="286" t="s">
        <v>283</v>
      </c>
      <c r="B23" s="287"/>
      <c r="C23" s="287"/>
      <c r="D23" s="287"/>
      <c r="E23" s="287"/>
      <c r="F23" s="287"/>
      <c r="G23" s="287"/>
      <c r="H23" s="287"/>
      <c r="I23" s="8">
        <v>18</v>
      </c>
      <c r="J23" s="131"/>
      <c r="K23" s="131"/>
    </row>
    <row r="24" spans="1:11" ht="17.25" customHeight="1">
      <c r="A24" s="240" t="s">
        <v>284</v>
      </c>
      <c r="B24" s="241"/>
      <c r="C24" s="241"/>
      <c r="D24" s="241"/>
      <c r="E24" s="241"/>
      <c r="F24" s="241"/>
      <c r="G24" s="241"/>
      <c r="H24" s="241"/>
      <c r="I24" s="4">
        <v>19</v>
      </c>
      <c r="J24" s="128"/>
      <c r="K24" s="128"/>
    </row>
    <row r="25" spans="1:11" ht="30" customHeight="1">
      <c r="A25" s="288" t="s">
        <v>285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6" t="s">
        <v>261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7" t="s">
        <v>295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 Kocijan</cp:lastModifiedBy>
  <cp:lastPrinted>2018-07-23T12:35:24Z</cp:lastPrinted>
  <dcterms:created xsi:type="dcterms:W3CDTF">2008-10-17T11:51:54Z</dcterms:created>
  <dcterms:modified xsi:type="dcterms:W3CDTF">2018-10-25T08:06:25Z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