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<sst xmlns="http://schemas.openxmlformats.org/spreadsheetml/2006/main" count="438" uniqueCount="375">
  <si>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</si>
  <si>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</si>
  <si>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</si>
  <si>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</si>
  <si>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</si>
  <si>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</si>
  <si>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</si>
  <si>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</si>
  <si>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</si>
  <si>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</si>
  <si>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</si>
  <si>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</si>
  <si>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</si>
  <si>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</si>
  <si>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</si>
  <si>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</si>
  <si>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</si>
  <si>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</si>
  <si>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</si>
  <si>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</si>
  <si>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</si>
  <si>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</si>
  <si>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</si>
  <si>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</si>
  <si>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</si>
  <si>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</si>
  <si>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</si>
  <si>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</si>
  <si>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</si>
  <si>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</si>
  <si>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</si>
  <si>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</si>
  <si>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</si>
  <si>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</si>
  <si>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</si>
  <si>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</si>
  <si>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</si>
  <si>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</si>
  <si>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</si>
  <si>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</si>
  <si>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</si>
  <si>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</si>
  <si>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</si>
  <si>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</si>
  <si>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</si>
  <si>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</si>
  <si>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</si>
  <si>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</si>
  <si>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</si>
  <si>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</si>
  <si>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</si>
  <si>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</si>
  <si>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</si>
  <si>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</si>
  <si>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</si>
  <si>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</si>
  <si>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</si>
  <si>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</si>
  <si>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</si>
  <si>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</si>
  <si>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</si>
  <si>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</si>
  <si>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</si>
  <si>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</si>
  <si>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</si>
  <si>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</si>
  <si>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</si>
  <si>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</si>
  <si>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</si>
  <si>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</si>
  <si>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</si>
  <si>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</si>
  <si>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</si>
  <si>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</si>
  <si>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</si>
  <si>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</si>
  <si>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</si>
  <si>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</si>
  <si>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</si>
  <si>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</si>
  <si>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</si>
  <si>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</si>
  <si>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</si>
  <si>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</si>
  <si>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</si>
  <si>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</si>
  <si>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</si>
  <si>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</si>
  <si>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</si>
  <si>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</si>
  <si>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</si>
  <si>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</si>
  <si>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</si>
  <si>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</si>
  <si>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</si>
  <si>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</si>
  <si>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</si>
  <si>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</si>
  <si>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</si>
  <si>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</si>
  <si>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</si>
  <si>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</si>
  <si>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</si>
  <si>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</si>
  <si>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</si>
  <si>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</si>
  <si>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</si>
  <si>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</si>
  <si>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</si>
  <si>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</si>
  <si>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</si>
  <si>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</si>
  <si>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</si>
  <si>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</si>
  <si>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</si>
  <si>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</si>
  <si>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</si>
  <si>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</si>
  <si>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</si>
  <si>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</si>
  <si>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</si>
  <si>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</si>
  <si>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</si>
  <si>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</si>
  <si>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</si>
  <si>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</si>
  <si>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</si>
  <si>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</si>
  <si>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</si>
  <si>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</si>
  <si>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</si>
  <si>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</si>
  <si>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</si>
  <si>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</si>
  <si>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</si>
  <si>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</si>
  <si>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</si>
  <si>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</si>
  <si>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</si>
  <si>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</si>
  <si>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</si>
  <si>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</si>
  <si>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</si>
  <si>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</si>
  <si>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</si>
  <si>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</si>
  <si>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</si>
  <si>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</si>
  <si>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</si>
  <si>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</si>
  <si>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</si>
  <si>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</si>
  <si>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</si>
  <si>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</si>
  <si>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</si>
  <si>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</si>
  <si>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</si>
  <si>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</si>
  <si>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</si>
  <si>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</si>
  <si>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</si>
  <si>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</si>
  <si>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</si>
  <si>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</si>
  <si>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</si>
  <si>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</si>
  <si>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</si>
  <si>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</si>
  <si>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</si>
  <si>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</si>
  <si>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</si>
  <si>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</si>
  <si>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</si>
  <si>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</si>
  <si>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</si>
  <si>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</si>
  <si>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</si>
  <si>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</si>
  <si>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</si>
  <si>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</si>
  <si>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</si>
  <si>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</si>
  <si>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</si>
  <si>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</si>
  <si>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</si>
  <si>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</si>
  <si>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</si>
  <si>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</si>
  <si>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</si>
  <si>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</si>
  <si>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</si>
  <si>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</si>
  <si>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</si>
  <si>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</si>
  <si>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</si>
  <si>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</si>
  <si>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</si>
  <si>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</si>
  <si>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</si>
  <si>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</si>
  <si>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</si>
  <si>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</si>
  <si>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</si>
  <si>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</si>
  <si>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</si>
  <si>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</si>
  <si>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</si>
  <si>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</si>
  <si>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</si>
  <si>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</si>
  <si>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</si>
  <si>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</si>
  <si>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</si>
  <si>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</si>
  <si>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</si>
  <si>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</si>
  <si>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</si>
  <si>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</si>
  <si>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</si>
  <si>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</si>
  <si>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</si>
  <si>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</si>
  <si>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</si>
  <si>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</si>
  <si>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</si>
  <si>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</si>
  <si>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</si>
  <si>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</si>
  <si>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</si>
  <si>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</si>
  <si>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</si>
  <si>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</si>
  <si>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</si>
  <si>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</si>
  <si>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</si>
  <si>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</si>
  <si>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</si>
  <si>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</si>
  <si>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</si>
  <si>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</si>
  <si>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</si>
  <si>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</si>
  <si>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</si>
  <si>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</si>
  <si>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</si>
  <si>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</si>
  <si>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</si>
  <si>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</si>
  <si>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</si>
  <si>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</si>
  <si>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</si>
  <si>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</si>
  <si>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</si>
  <si>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</si>
  <si>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</si>
  <si>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</si>
  <si>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</si>
  <si>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</si>
  <si>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</si>
  <si>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</si>
  <si>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</si>
  <si>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</si>
  <si>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</si>
  <si>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</si>
  <si>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</si>
  <si>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</si>
  <si>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</si>
  <si>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</si>
  <si>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</si>
  <si>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</si>
  <si>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</si>
  <si>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</si>
  <si>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</si>
  <si>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</si>
  <si>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</si>
  <si>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</si>
  <si>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</si>
  <si>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</si>
  <si>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</si>
  <si>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</si>
  <si>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</si>
  <si>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</si>
  <si>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</si>
  <si>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</si>
  <si>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</si>
  <si>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</si>
  <si>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</si>
  <si>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</si>
  <si>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</si>
  <si>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</si>
  <si>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</si>
  <si>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</si>
  <si>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</si>
  <si>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</si>
  <si>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</si>
  <si>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</si>
  <si>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</si>
  <si>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</si>
  <si>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</si>
  <si>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</si>
  <si>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</si>
  <si>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</si>
  <si>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</si>
  <si>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</si>
  <si>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</si>
  <si>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</si>
  <si>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</si>
  <si>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</si>
  <si>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</si>
  <si>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</si>
  <si>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</si>
  <si>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</si>
  <si>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</si>
  <si>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</si>
  <si>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</si>
  <si>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</si>
  <si>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</si>
  <si>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</si>
  <si>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</si>
  <si>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</si>
  <si>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</si>
  <si>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</si>
  <si>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</si>
  <si>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</si>
  <si>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</si>
  <si>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</si>
  <si>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</si>
  <si>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</si>
  <si>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</si>
  <si>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</si>
  <si>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</si>
  <si>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</si>
  <si>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</si>
  <si>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</si>
  <si>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</si>
  <si>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</si>
  <si>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</si>
  <si>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</si>
  <si>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</si>
  <si>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</si>
  <si>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</si>
  <si>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</si>
  <si>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</si>
  <si>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</si>
  <si>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</si>
  <si>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1.1.2015.</t>
  </si>
  <si>
    <t>Palme turizam d.o.o.</t>
  </si>
  <si>
    <t>Magične stijene d.o.o.</t>
  </si>
  <si>
    <t>1. Financijski izvještaji (bilanca, račun dobiti i gubitka, izvještaj o novčanom tijeku, izvještaj o promjenama</t>
  </si>
  <si>
    <t>30.06.2015.</t>
  </si>
  <si>
    <t>Željko Kukurin, Čižmek Marko</t>
  </si>
  <si>
    <t>stanje na dan 30.6.2015.</t>
  </si>
  <si>
    <t>u razdoblju 1.1.2015. do 30.6.2015.</t>
  </si>
  <si>
    <t>30.6.2015.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</si>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</sst>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0" fontId="3" fillId="0" borderId="17" xfId="57" applyFont="1" applyFill="1" applyBorder="1" applyAlignment="1">
      <alignment/>
      <protection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56" fillId="0" borderId="0" xfId="57" applyFont="1" applyAlignment="1">
      <alignment/>
      <protection/>
    </xf>
    <xf numFmtId="0" fontId="57" fillId="0" borderId="0" xfId="57" applyFont="1" applyAlignment="1">
      <alignment/>
      <protection/>
    </xf>
    <xf numFmtId="0" fontId="57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49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Fill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31" xfId="57" applyFont="1" applyFill="1" applyBorder="1" applyAlignment="1" applyProtection="1">
      <alignment horizontal="right" vertical="center"/>
      <protection hidden="1" locked="0"/>
    </xf>
    <xf numFmtId="0" fontId="2" fillId="0" borderId="35" xfId="57" applyFont="1" applyFill="1" applyBorder="1" applyAlignment="1" applyProtection="1">
      <alignment horizontal="right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>
      <alignment horizontal="right"/>
      <protection/>
    </xf>
    <xf numFmtId="0" fontId="2" fillId="0" borderId="31" xfId="57" applyFont="1" applyFill="1" applyBorder="1" applyAlignment="1">
      <alignment horizontal="right"/>
      <protection/>
    </xf>
    <xf numFmtId="0" fontId="2" fillId="0" borderId="35" xfId="57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235</v>
      </c>
      <c r="B1" s="190"/>
      <c r="C1" s="190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8" t="s">
        <v>236</v>
      </c>
      <c r="B2" s="149"/>
      <c r="C2" s="149"/>
      <c r="D2" s="150"/>
      <c r="E2" s="100" t="s">
        <v>345</v>
      </c>
      <c r="F2" s="12"/>
      <c r="G2" s="13" t="s">
        <v>237</v>
      </c>
      <c r="H2" s="100" t="s">
        <v>349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51" t="s">
        <v>303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4" t="s">
        <v>238</v>
      </c>
      <c r="B6" s="155"/>
      <c r="C6" s="137" t="s">
        <v>309</v>
      </c>
      <c r="D6" s="138"/>
      <c r="E6" s="158"/>
      <c r="F6" s="158"/>
      <c r="G6" s="158"/>
      <c r="H6" s="158"/>
      <c r="I6" s="104"/>
      <c r="J6" s="10"/>
      <c r="K6" s="10"/>
      <c r="L6" s="10"/>
    </row>
    <row r="7" spans="1:12" ht="12.75">
      <c r="A7" s="83"/>
      <c r="B7" s="21"/>
      <c r="C7" s="23"/>
      <c r="D7" s="23"/>
      <c r="E7" s="158"/>
      <c r="F7" s="158"/>
      <c r="G7" s="158"/>
      <c r="H7" s="158"/>
      <c r="I7" s="104"/>
      <c r="J7" s="10"/>
      <c r="K7" s="10"/>
      <c r="L7" s="10"/>
    </row>
    <row r="8" spans="1:12" ht="12.75">
      <c r="A8" s="156" t="s">
        <v>239</v>
      </c>
      <c r="B8" s="157"/>
      <c r="C8" s="137" t="s">
        <v>310</v>
      </c>
      <c r="D8" s="138"/>
      <c r="E8" s="158"/>
      <c r="F8" s="158"/>
      <c r="G8" s="158"/>
      <c r="H8" s="158"/>
      <c r="I8" s="105"/>
      <c r="J8" s="10"/>
      <c r="K8" s="10"/>
      <c r="L8" s="10"/>
    </row>
    <row r="9" spans="1:12" ht="12.75">
      <c r="A9" s="84"/>
      <c r="B9" s="42"/>
      <c r="C9" s="106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45" t="s">
        <v>240</v>
      </c>
      <c r="B10" s="146"/>
      <c r="C10" s="137" t="s">
        <v>311</v>
      </c>
      <c r="D10" s="138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47"/>
      <c r="B11" s="146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54" t="s">
        <v>241</v>
      </c>
      <c r="B12" s="155"/>
      <c r="C12" s="159" t="s">
        <v>312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83"/>
      <c r="B13" s="21"/>
      <c r="C13" s="119"/>
      <c r="D13" s="120"/>
      <c r="E13" s="120"/>
      <c r="F13" s="120"/>
      <c r="G13" s="120"/>
      <c r="H13" s="120"/>
      <c r="I13" s="120"/>
      <c r="J13" s="10"/>
      <c r="K13" s="10"/>
      <c r="L13" s="10"/>
    </row>
    <row r="14" spans="1:12" ht="12.75">
      <c r="A14" s="154" t="s">
        <v>242</v>
      </c>
      <c r="B14" s="155"/>
      <c r="C14" s="162">
        <v>52440</v>
      </c>
      <c r="D14" s="163"/>
      <c r="E14" s="120"/>
      <c r="F14" s="159" t="s">
        <v>313</v>
      </c>
      <c r="G14" s="160"/>
      <c r="H14" s="160"/>
      <c r="I14" s="161"/>
      <c r="J14" s="10"/>
      <c r="K14" s="10"/>
      <c r="L14" s="10"/>
    </row>
    <row r="15" spans="1:12" ht="12.75">
      <c r="A15" s="83"/>
      <c r="B15" s="21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54" t="s">
        <v>243</v>
      </c>
      <c r="B16" s="155"/>
      <c r="C16" s="159" t="s">
        <v>314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83"/>
      <c r="B17" s="21"/>
      <c r="C17" s="120"/>
      <c r="D17" s="120"/>
      <c r="E17" s="120"/>
      <c r="F17" s="120"/>
      <c r="G17" s="120"/>
      <c r="H17" s="120"/>
      <c r="I17" s="120"/>
      <c r="J17" s="10"/>
      <c r="K17" s="10"/>
      <c r="L17" s="10"/>
    </row>
    <row r="18" spans="1:12" ht="12.75">
      <c r="A18" s="154" t="s">
        <v>244</v>
      </c>
      <c r="B18" s="155"/>
      <c r="C18" s="164" t="s">
        <v>315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ht="12.75">
      <c r="A19" s="83"/>
      <c r="B19" s="21"/>
      <c r="C19" s="107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54" t="s">
        <v>245</v>
      </c>
      <c r="B20" s="155"/>
      <c r="C20" s="167" t="s">
        <v>316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ht="12.75">
      <c r="A21" s="83"/>
      <c r="B21" s="21"/>
      <c r="C21" s="107"/>
      <c r="D21" s="23"/>
      <c r="E21" s="23"/>
      <c r="F21" s="23"/>
      <c r="G21" s="23"/>
      <c r="H21" s="23"/>
      <c r="I21" s="23"/>
      <c r="J21" s="10"/>
      <c r="K21" s="10"/>
      <c r="L21" s="10"/>
    </row>
    <row r="22" spans="1:12" ht="12.75">
      <c r="A22" s="154" t="s">
        <v>246</v>
      </c>
      <c r="B22" s="155"/>
      <c r="C22" s="101">
        <v>348</v>
      </c>
      <c r="D22" s="159" t="s">
        <v>313</v>
      </c>
      <c r="E22" s="168"/>
      <c r="F22" s="169"/>
      <c r="G22" s="170"/>
      <c r="H22" s="171"/>
      <c r="I22" s="22"/>
      <c r="J22" s="10"/>
      <c r="K22" s="10"/>
      <c r="L22" s="10"/>
    </row>
    <row r="23" spans="1:12" ht="12.75">
      <c r="A23" s="83"/>
      <c r="B23" s="21"/>
      <c r="C23" s="23"/>
      <c r="D23" s="23"/>
      <c r="E23" s="23"/>
      <c r="F23" s="23"/>
      <c r="G23" s="23"/>
      <c r="H23" s="23"/>
      <c r="I23" s="105"/>
      <c r="J23" s="10"/>
      <c r="K23" s="10"/>
      <c r="L23" s="10"/>
    </row>
    <row r="24" spans="1:12" ht="12.75">
      <c r="A24" s="154" t="s">
        <v>247</v>
      </c>
      <c r="B24" s="155"/>
      <c r="C24" s="101">
        <v>18</v>
      </c>
      <c r="D24" s="159" t="s">
        <v>317</v>
      </c>
      <c r="E24" s="168"/>
      <c r="F24" s="168"/>
      <c r="G24" s="169"/>
      <c r="H24" s="108" t="s">
        <v>248</v>
      </c>
      <c r="I24" s="123">
        <v>3546</v>
      </c>
      <c r="J24" s="10"/>
      <c r="K24" s="10"/>
      <c r="L24" s="10"/>
    </row>
    <row r="25" spans="1:12" ht="12.75">
      <c r="A25" s="83"/>
      <c r="B25" s="21"/>
      <c r="C25" s="23"/>
      <c r="D25" s="23"/>
      <c r="E25" s="23"/>
      <c r="F25" s="23"/>
      <c r="G25" s="109"/>
      <c r="H25" s="109" t="s">
        <v>318</v>
      </c>
      <c r="I25" s="107"/>
      <c r="J25" s="10"/>
      <c r="K25" s="10"/>
      <c r="L25" s="10"/>
    </row>
    <row r="26" spans="1:12" ht="12.75">
      <c r="A26" s="154" t="s">
        <v>249</v>
      </c>
      <c r="B26" s="155"/>
      <c r="C26" s="102" t="s">
        <v>319</v>
      </c>
      <c r="D26" s="24"/>
      <c r="E26" s="110"/>
      <c r="F26" s="105"/>
      <c r="G26" s="172" t="s">
        <v>250</v>
      </c>
      <c r="H26" s="173"/>
      <c r="I26" s="103" t="s">
        <v>320</v>
      </c>
      <c r="J26" s="10"/>
      <c r="K26" s="10"/>
      <c r="L26" s="10"/>
    </row>
    <row r="27" spans="1:12" ht="12.75">
      <c r="A27" s="83"/>
      <c r="B27" s="21"/>
      <c r="C27" s="16"/>
      <c r="D27" s="23"/>
      <c r="E27" s="23"/>
      <c r="F27" s="23"/>
      <c r="G27" s="23"/>
      <c r="H27" s="16"/>
      <c r="I27" s="85"/>
      <c r="J27" s="10"/>
      <c r="K27" s="10"/>
      <c r="L27" s="10"/>
    </row>
    <row r="28" spans="1:12" ht="12.75">
      <c r="A28" s="174" t="s">
        <v>251</v>
      </c>
      <c r="B28" s="175"/>
      <c r="C28" s="176"/>
      <c r="D28" s="176"/>
      <c r="E28" s="175" t="s">
        <v>252</v>
      </c>
      <c r="F28" s="177"/>
      <c r="G28" s="177"/>
      <c r="H28" s="176" t="s">
        <v>253</v>
      </c>
      <c r="I28" s="178"/>
      <c r="J28" s="10"/>
      <c r="K28" s="10"/>
      <c r="L28" s="10"/>
    </row>
    <row r="29" spans="1:12" ht="12.75">
      <c r="A29" s="116"/>
      <c r="B29" s="117"/>
      <c r="C29" s="118"/>
      <c r="D29" s="118"/>
      <c r="E29" s="117"/>
      <c r="F29" s="132"/>
      <c r="G29" s="132"/>
      <c r="H29" s="118"/>
      <c r="I29" s="133"/>
      <c r="J29" s="10"/>
      <c r="K29" s="10"/>
      <c r="L29" s="10"/>
    </row>
    <row r="30" spans="1:12" s="125" customFormat="1" ht="12.75">
      <c r="A30" s="135" t="s">
        <v>322</v>
      </c>
      <c r="B30" s="136"/>
      <c r="C30" s="136"/>
      <c r="D30" s="144"/>
      <c r="E30" s="135" t="s">
        <v>321</v>
      </c>
      <c r="F30" s="136"/>
      <c r="G30" s="136"/>
      <c r="H30" s="137" t="s">
        <v>323</v>
      </c>
      <c r="I30" s="138"/>
      <c r="J30" s="124"/>
      <c r="K30" s="124"/>
      <c r="L30" s="124"/>
    </row>
    <row r="31" spans="1:12" s="125" customFormat="1" ht="12.75">
      <c r="A31" s="135" t="s">
        <v>366</v>
      </c>
      <c r="B31" s="136"/>
      <c r="C31" s="136"/>
      <c r="D31" s="144"/>
      <c r="E31" s="135" t="s">
        <v>367</v>
      </c>
      <c r="F31" s="136"/>
      <c r="G31" s="136"/>
      <c r="H31" s="137" t="s">
        <v>368</v>
      </c>
      <c r="I31" s="138"/>
      <c r="J31" s="124"/>
      <c r="K31" s="124"/>
      <c r="L31" s="124"/>
    </row>
    <row r="32" spans="1:12" s="125" customFormat="1" ht="12.75">
      <c r="A32" s="139" t="s">
        <v>369</v>
      </c>
      <c r="B32" s="205"/>
      <c r="C32" s="205"/>
      <c r="D32" s="206"/>
      <c r="E32" s="209" t="s">
        <v>367</v>
      </c>
      <c r="F32" s="210"/>
      <c r="G32" s="211"/>
      <c r="H32" s="207" t="s">
        <v>370</v>
      </c>
      <c r="I32" s="208"/>
      <c r="J32" s="124"/>
      <c r="K32" s="124"/>
      <c r="L32" s="124"/>
    </row>
    <row r="33" spans="1:12" s="125" customFormat="1" ht="12.75">
      <c r="A33" s="139" t="s">
        <v>371</v>
      </c>
      <c r="B33" s="205"/>
      <c r="C33" s="205"/>
      <c r="D33" s="206"/>
      <c r="E33" s="139" t="s">
        <v>367</v>
      </c>
      <c r="F33" s="205"/>
      <c r="G33" s="206"/>
      <c r="H33" s="207" t="s">
        <v>372</v>
      </c>
      <c r="I33" s="208"/>
      <c r="J33" s="124"/>
      <c r="K33" s="124"/>
      <c r="L33" s="124"/>
    </row>
    <row r="34" spans="1:12" s="125" customFormat="1" ht="12.75">
      <c r="A34" s="139" t="s">
        <v>373</v>
      </c>
      <c r="B34" s="205"/>
      <c r="C34" s="205"/>
      <c r="D34" s="206"/>
      <c r="E34" s="139" t="s">
        <v>367</v>
      </c>
      <c r="F34" s="205"/>
      <c r="G34" s="206"/>
      <c r="H34" s="207" t="s">
        <v>374</v>
      </c>
      <c r="I34" s="208"/>
      <c r="J34" s="124"/>
      <c r="K34" s="124"/>
      <c r="L34" s="124"/>
    </row>
    <row r="35" spans="1:12" ht="12.75">
      <c r="A35" s="135" t="s">
        <v>324</v>
      </c>
      <c r="B35" s="136"/>
      <c r="C35" s="136"/>
      <c r="D35" s="144"/>
      <c r="E35" s="135" t="s">
        <v>325</v>
      </c>
      <c r="F35" s="136"/>
      <c r="G35" s="136"/>
      <c r="H35" s="137" t="s">
        <v>326</v>
      </c>
      <c r="I35" s="138"/>
      <c r="J35" s="10"/>
      <c r="K35" s="10"/>
      <c r="L35" s="10"/>
    </row>
    <row r="36" spans="1:12" ht="12.75">
      <c r="A36" s="135" t="s">
        <v>327</v>
      </c>
      <c r="B36" s="136"/>
      <c r="C36" s="136"/>
      <c r="D36" s="144"/>
      <c r="E36" s="135" t="s">
        <v>321</v>
      </c>
      <c r="F36" s="136"/>
      <c r="G36" s="136"/>
      <c r="H36" s="137" t="s">
        <v>328</v>
      </c>
      <c r="I36" s="138"/>
      <c r="J36" s="10"/>
      <c r="K36" s="10"/>
      <c r="L36" s="10"/>
    </row>
    <row r="37" spans="1:12" ht="12.75">
      <c r="A37" s="135" t="s">
        <v>329</v>
      </c>
      <c r="B37" s="136"/>
      <c r="C37" s="136"/>
      <c r="D37" s="144"/>
      <c r="E37" s="135" t="s">
        <v>321</v>
      </c>
      <c r="F37" s="136"/>
      <c r="G37" s="136"/>
      <c r="H37" s="137" t="s">
        <v>330</v>
      </c>
      <c r="I37" s="138"/>
      <c r="J37" s="10"/>
      <c r="K37" s="10"/>
      <c r="L37" s="10"/>
    </row>
    <row r="38" spans="1:12" ht="12.75">
      <c r="A38" s="135" t="s">
        <v>331</v>
      </c>
      <c r="B38" s="136"/>
      <c r="C38" s="136"/>
      <c r="D38" s="144"/>
      <c r="E38" s="135" t="s">
        <v>332</v>
      </c>
      <c r="F38" s="136"/>
      <c r="G38" s="136"/>
      <c r="H38" s="137" t="s">
        <v>333</v>
      </c>
      <c r="I38" s="138"/>
      <c r="J38" s="10"/>
      <c r="K38" s="10"/>
      <c r="L38" s="10"/>
    </row>
    <row r="39" spans="1:12" ht="12.75">
      <c r="A39" s="135" t="s">
        <v>347</v>
      </c>
      <c r="B39" s="136"/>
      <c r="C39" s="136"/>
      <c r="D39" s="144"/>
      <c r="E39" s="135" t="s">
        <v>332</v>
      </c>
      <c r="F39" s="136"/>
      <c r="G39" s="136"/>
      <c r="H39" s="137" t="s">
        <v>334</v>
      </c>
      <c r="I39" s="138"/>
      <c r="J39" s="10"/>
      <c r="K39" s="10"/>
      <c r="L39" s="10"/>
    </row>
    <row r="40" spans="1:12" ht="12.75">
      <c r="A40" s="135" t="s">
        <v>346</v>
      </c>
      <c r="B40" s="136"/>
      <c r="C40" s="136"/>
      <c r="D40" s="144"/>
      <c r="E40" s="135" t="s">
        <v>332</v>
      </c>
      <c r="F40" s="136"/>
      <c r="G40" s="136"/>
      <c r="H40" s="137" t="s">
        <v>335</v>
      </c>
      <c r="I40" s="138"/>
      <c r="J40" s="10"/>
      <c r="K40" s="10"/>
      <c r="L40" s="10"/>
    </row>
    <row r="41" spans="1:12" ht="12.75">
      <c r="A41" s="135" t="s">
        <v>336</v>
      </c>
      <c r="B41" s="136"/>
      <c r="C41" s="136"/>
      <c r="D41" s="144"/>
      <c r="E41" s="135" t="s">
        <v>332</v>
      </c>
      <c r="F41" s="136"/>
      <c r="G41" s="136"/>
      <c r="H41" s="137" t="s">
        <v>337</v>
      </c>
      <c r="I41" s="138"/>
      <c r="J41" s="10"/>
      <c r="K41" s="10"/>
      <c r="L41" s="10"/>
    </row>
    <row r="42" spans="1:12" ht="12.75">
      <c r="A42" s="139" t="s">
        <v>338</v>
      </c>
      <c r="B42" s="184"/>
      <c r="C42" s="140"/>
      <c r="D42" s="141"/>
      <c r="E42" s="139" t="s">
        <v>332</v>
      </c>
      <c r="F42" s="140"/>
      <c r="G42" s="141"/>
      <c r="H42" s="142" t="s">
        <v>339</v>
      </c>
      <c r="I42" s="143"/>
      <c r="J42" s="10"/>
      <c r="K42" s="10"/>
      <c r="L42" s="10"/>
    </row>
    <row r="43" spans="1:12" ht="12.75">
      <c r="A43" s="112"/>
      <c r="B43" s="113"/>
      <c r="C43" s="114"/>
      <c r="D43" s="114"/>
      <c r="E43" s="22"/>
      <c r="F43" s="114"/>
      <c r="G43" s="114"/>
      <c r="H43" s="115"/>
      <c r="I43" s="115"/>
      <c r="J43" s="10"/>
      <c r="K43" s="10"/>
      <c r="L43" s="10"/>
    </row>
    <row r="44" spans="1:12" ht="12.75">
      <c r="A44" s="145" t="s">
        <v>254</v>
      </c>
      <c r="B44" s="185"/>
      <c r="C44" s="137"/>
      <c r="D44" s="138"/>
      <c r="E44" s="25"/>
      <c r="F44" s="159"/>
      <c r="G44" s="195"/>
      <c r="H44" s="195"/>
      <c r="I44" s="196"/>
      <c r="J44" s="10"/>
      <c r="K44" s="10"/>
      <c r="L44" s="10"/>
    </row>
    <row r="45" spans="1:12" ht="12.75">
      <c r="A45" s="86"/>
      <c r="B45" s="26"/>
      <c r="C45" s="179"/>
      <c r="D45" s="180"/>
      <c r="E45" s="16"/>
      <c r="F45" s="179"/>
      <c r="G45" s="181"/>
      <c r="H45" s="28"/>
      <c r="I45" s="87"/>
      <c r="J45" s="10"/>
      <c r="K45" s="10"/>
      <c r="L45" s="10"/>
    </row>
    <row r="46" spans="1:12" ht="12.75">
      <c r="A46" s="145" t="s">
        <v>255</v>
      </c>
      <c r="B46" s="185"/>
      <c r="C46" s="159" t="s">
        <v>340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83"/>
      <c r="B47" s="21"/>
      <c r="C47" s="111" t="s">
        <v>256</v>
      </c>
      <c r="D47" s="105"/>
      <c r="E47" s="105"/>
      <c r="F47" s="105"/>
      <c r="G47" s="105"/>
      <c r="H47" s="105"/>
      <c r="I47" s="105"/>
      <c r="J47" s="10"/>
      <c r="K47" s="10"/>
      <c r="L47" s="10"/>
    </row>
    <row r="48" spans="1:12" ht="12.75">
      <c r="A48" s="145" t="s">
        <v>257</v>
      </c>
      <c r="B48" s="185"/>
      <c r="C48" s="186" t="s">
        <v>341</v>
      </c>
      <c r="D48" s="187"/>
      <c r="E48" s="188"/>
      <c r="F48" s="105"/>
      <c r="G48" s="108" t="s">
        <v>258</v>
      </c>
      <c r="H48" s="186" t="s">
        <v>342</v>
      </c>
      <c r="I48" s="188"/>
      <c r="J48" s="10"/>
      <c r="K48" s="10"/>
      <c r="L48" s="10"/>
    </row>
    <row r="49" spans="1:12" ht="12.75">
      <c r="A49" s="83"/>
      <c r="B49" s="21"/>
      <c r="C49" s="111"/>
      <c r="D49" s="105"/>
      <c r="E49" s="105"/>
      <c r="F49" s="105"/>
      <c r="G49" s="105"/>
      <c r="H49" s="105"/>
      <c r="I49" s="105"/>
      <c r="J49" s="10"/>
      <c r="K49" s="10"/>
      <c r="L49" s="10"/>
    </row>
    <row r="50" spans="1:12" ht="12.75">
      <c r="A50" s="145" t="s">
        <v>244</v>
      </c>
      <c r="B50" s="185"/>
      <c r="C50" s="199" t="s">
        <v>343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83"/>
      <c r="B51" s="21"/>
      <c r="C51" s="105"/>
      <c r="D51" s="105"/>
      <c r="E51" s="105"/>
      <c r="F51" s="105"/>
      <c r="G51" s="105"/>
      <c r="H51" s="105"/>
      <c r="I51" s="105"/>
      <c r="J51" s="10"/>
      <c r="K51" s="10"/>
      <c r="L51" s="10"/>
    </row>
    <row r="52" spans="1:12" ht="12.75">
      <c r="A52" s="154" t="s">
        <v>259</v>
      </c>
      <c r="B52" s="155"/>
      <c r="C52" s="186" t="s">
        <v>350</v>
      </c>
      <c r="D52" s="187"/>
      <c r="E52" s="187"/>
      <c r="F52" s="187"/>
      <c r="G52" s="187"/>
      <c r="H52" s="187"/>
      <c r="I52" s="161"/>
      <c r="J52" s="10"/>
      <c r="K52" s="10"/>
      <c r="L52" s="10"/>
    </row>
    <row r="53" spans="1:12" ht="12.75">
      <c r="A53" s="88"/>
      <c r="B53" s="20"/>
      <c r="C53" s="191" t="s">
        <v>260</v>
      </c>
      <c r="D53" s="191"/>
      <c r="E53" s="191"/>
      <c r="F53" s="191"/>
      <c r="G53" s="191"/>
      <c r="H53" s="191"/>
      <c r="I53" s="89"/>
      <c r="J53" s="10"/>
      <c r="K53" s="10"/>
      <c r="L53" s="10"/>
    </row>
    <row r="54" spans="1:12" ht="12.75">
      <c r="A54" s="88"/>
      <c r="B54" s="20"/>
      <c r="C54" s="29"/>
      <c r="D54" s="29"/>
      <c r="E54" s="29"/>
      <c r="F54" s="29"/>
      <c r="G54" s="29"/>
      <c r="H54" s="29"/>
      <c r="I54" s="89"/>
      <c r="J54" s="10"/>
      <c r="K54" s="10"/>
      <c r="L54" s="10"/>
    </row>
    <row r="55" spans="1:12" ht="12.75">
      <c r="A55" s="88"/>
      <c r="B55" s="200" t="s">
        <v>261</v>
      </c>
      <c r="C55" s="201"/>
      <c r="D55" s="201"/>
      <c r="E55" s="201"/>
      <c r="F55" s="41"/>
      <c r="G55" s="41"/>
      <c r="H55" s="41"/>
      <c r="I55" s="90"/>
      <c r="J55" s="10"/>
      <c r="K55" s="10"/>
      <c r="L55" s="10"/>
    </row>
    <row r="56" spans="1:12" ht="12.75">
      <c r="A56" s="88"/>
      <c r="B56" s="202" t="s">
        <v>348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88"/>
      <c r="B57" s="202" t="s">
        <v>293</v>
      </c>
      <c r="C57" s="203"/>
      <c r="D57" s="203"/>
      <c r="E57" s="203"/>
      <c r="F57" s="203"/>
      <c r="G57" s="203"/>
      <c r="H57" s="203"/>
      <c r="I57" s="90"/>
      <c r="J57" s="10"/>
      <c r="K57" s="10"/>
      <c r="L57" s="10"/>
    </row>
    <row r="58" spans="1:12" ht="12.75">
      <c r="A58" s="88"/>
      <c r="B58" s="202" t="s">
        <v>294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88"/>
      <c r="B59" s="202" t="s">
        <v>295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88"/>
      <c r="B60" s="91"/>
      <c r="C60" s="92"/>
      <c r="D60" s="92"/>
      <c r="E60" s="92"/>
      <c r="F60" s="92"/>
      <c r="G60" s="92"/>
      <c r="H60" s="92"/>
      <c r="I60" s="93"/>
      <c r="J60" s="10"/>
      <c r="K60" s="10"/>
      <c r="L60" s="10"/>
    </row>
    <row r="61" spans="1:12" ht="13.5" thickBot="1">
      <c r="A61" s="94" t="s">
        <v>262</v>
      </c>
      <c r="B61" s="16"/>
      <c r="C61" s="16"/>
      <c r="D61" s="16"/>
      <c r="E61" s="16"/>
      <c r="F61" s="16"/>
      <c r="G61" s="30"/>
      <c r="H61" s="31"/>
      <c r="I61" s="95"/>
      <c r="J61" s="10"/>
      <c r="K61" s="10"/>
      <c r="L61" s="10"/>
    </row>
    <row r="62" spans="1:12" ht="12.75">
      <c r="A62" s="80"/>
      <c r="B62" s="16"/>
      <c r="C62" s="16"/>
      <c r="D62" s="16"/>
      <c r="E62" s="20" t="s">
        <v>263</v>
      </c>
      <c r="F62" s="27"/>
      <c r="G62" s="192" t="s">
        <v>264</v>
      </c>
      <c r="H62" s="193"/>
      <c r="I62" s="194"/>
      <c r="J62" s="10"/>
      <c r="K62" s="10"/>
      <c r="L62" s="10"/>
    </row>
    <row r="63" spans="1:12" ht="12.75">
      <c r="A63" s="96"/>
      <c r="B63" s="97"/>
      <c r="C63" s="98"/>
      <c r="D63" s="98"/>
      <c r="E63" s="98"/>
      <c r="F63" s="98"/>
      <c r="G63" s="197"/>
      <c r="H63" s="198"/>
      <c r="I63" s="99"/>
      <c r="J63" s="10"/>
      <c r="K63" s="10"/>
      <c r="L63" s="10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9:G39 A38:I38 A40:G40 E41:G43" name="Range1_12"/>
  </protectedRanges>
  <mergeCells count="92">
    <mergeCell ref="A34:D34"/>
    <mergeCell ref="E34:G34"/>
    <mergeCell ref="H34:I34"/>
    <mergeCell ref="A32:D32"/>
    <mergeCell ref="E32:G32"/>
    <mergeCell ref="H32:I32"/>
    <mergeCell ref="A33:D33"/>
    <mergeCell ref="E33:G33"/>
    <mergeCell ref="H33:I33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H38:I38"/>
    <mergeCell ref="A40:D40"/>
    <mergeCell ref="A39:D39"/>
    <mergeCell ref="E39:G39"/>
    <mergeCell ref="H39:I39"/>
    <mergeCell ref="E40:G40"/>
    <mergeCell ref="C45:D45"/>
    <mergeCell ref="F45:G45"/>
    <mergeCell ref="A41:D41"/>
    <mergeCell ref="E41:G41"/>
    <mergeCell ref="H41:I41"/>
    <mergeCell ref="C46:I46"/>
    <mergeCell ref="A42:D4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A31:D31"/>
    <mergeCell ref="E31:G31"/>
    <mergeCell ref="H31:I31"/>
    <mergeCell ref="E42:G42"/>
    <mergeCell ref="H42:I42"/>
    <mergeCell ref="H40:I40"/>
    <mergeCell ref="A37:D37"/>
    <mergeCell ref="E37:G37"/>
    <mergeCell ref="H37:I37"/>
    <mergeCell ref="A38:D38"/>
    <mergeCell ref="E38:G38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55">
      <selection activeCell="K80" sqref="K80"/>
    </sheetView>
  </sheetViews>
  <sheetFormatPr defaultColWidth="9.140625" defaultRowHeight="12.75"/>
  <cols>
    <col min="1" max="9" width="9.140625" style="43" customWidth="1"/>
    <col min="10" max="10" width="11.140625" style="43" customWidth="1"/>
    <col min="11" max="11" width="11.140625" style="43" bestFit="1" customWidth="1"/>
    <col min="12" max="12" width="14.57421875" style="129" customWidth="1"/>
    <col min="13" max="16384" width="9.140625" style="43" customWidth="1"/>
  </cols>
  <sheetData>
    <row r="1" spans="1:11" ht="12.75" customHeight="1">
      <c r="A1" s="249" t="s">
        <v>145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351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51" t="s">
        <v>344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>
      <c r="A4" s="254" t="s">
        <v>52</v>
      </c>
      <c r="B4" s="255"/>
      <c r="C4" s="255"/>
      <c r="D4" s="255"/>
      <c r="E4" s="255"/>
      <c r="F4" s="255"/>
      <c r="G4" s="255"/>
      <c r="H4" s="256"/>
      <c r="I4" s="49" t="s">
        <v>265</v>
      </c>
      <c r="J4" s="50" t="s">
        <v>304</v>
      </c>
      <c r="K4" s="51" t="s">
        <v>305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48">
        <v>2</v>
      </c>
      <c r="J5" s="47">
        <v>3</v>
      </c>
      <c r="K5" s="47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1" t="s">
        <v>53</v>
      </c>
      <c r="B7" s="222"/>
      <c r="C7" s="222"/>
      <c r="D7" s="222"/>
      <c r="E7" s="222"/>
      <c r="F7" s="222"/>
      <c r="G7" s="222"/>
      <c r="H7" s="239"/>
      <c r="I7" s="3">
        <v>1</v>
      </c>
      <c r="J7" s="6"/>
      <c r="K7" s="6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44">
        <f>J9+J16+J26+J35+J39</f>
        <v>2751488491</v>
      </c>
      <c r="K8" s="44">
        <f>K9+K16+K26+K35+K39</f>
        <v>3227845917</v>
      </c>
    </row>
    <row r="9" spans="1:11" ht="12.75">
      <c r="A9" s="225" t="s">
        <v>194</v>
      </c>
      <c r="B9" s="226"/>
      <c r="C9" s="226"/>
      <c r="D9" s="226"/>
      <c r="E9" s="226"/>
      <c r="F9" s="226"/>
      <c r="G9" s="226"/>
      <c r="H9" s="227"/>
      <c r="I9" s="1">
        <v>3</v>
      </c>
      <c r="J9" s="44">
        <f>SUM(J10:J15)</f>
        <v>15086357</v>
      </c>
      <c r="K9" s="44">
        <f>SUM(K10:K15)</f>
        <v>14758191</v>
      </c>
    </row>
    <row r="10" spans="1:11" ht="12.75">
      <c r="A10" s="225" t="s">
        <v>104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8512338</v>
      </c>
      <c r="K11" s="7">
        <v>6443767</v>
      </c>
    </row>
    <row r="12" spans="1:11" ht="12.75">
      <c r="A12" s="225" t="s">
        <v>105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6567609</v>
      </c>
      <c r="K12" s="7">
        <v>6567609</v>
      </c>
    </row>
    <row r="13" spans="1:11" ht="12.75">
      <c r="A13" s="225" t="s">
        <v>197</v>
      </c>
      <c r="B13" s="226"/>
      <c r="C13" s="226"/>
      <c r="D13" s="226"/>
      <c r="E13" s="226"/>
      <c r="F13" s="226"/>
      <c r="G13" s="226"/>
      <c r="H13" s="227"/>
      <c r="I13" s="1">
        <v>7</v>
      </c>
      <c r="J13" s="7"/>
      <c r="K13" s="7"/>
    </row>
    <row r="14" spans="1:11" ht="12.75">
      <c r="A14" s="225" t="s">
        <v>198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6410</v>
      </c>
      <c r="K14" s="7">
        <v>501010</v>
      </c>
    </row>
    <row r="15" spans="1:11" ht="12.75">
      <c r="A15" s="225" t="s">
        <v>199</v>
      </c>
      <c r="B15" s="226"/>
      <c r="C15" s="226"/>
      <c r="D15" s="226"/>
      <c r="E15" s="226"/>
      <c r="F15" s="226"/>
      <c r="G15" s="226"/>
      <c r="H15" s="227"/>
      <c r="I15" s="1">
        <v>9</v>
      </c>
      <c r="J15" s="7"/>
      <c r="K15" s="7">
        <v>1245805</v>
      </c>
    </row>
    <row r="16" spans="1:11" ht="12.75">
      <c r="A16" s="225" t="s">
        <v>195</v>
      </c>
      <c r="B16" s="226"/>
      <c r="C16" s="226"/>
      <c r="D16" s="226"/>
      <c r="E16" s="226"/>
      <c r="F16" s="226"/>
      <c r="G16" s="226"/>
      <c r="H16" s="227"/>
      <c r="I16" s="1">
        <v>10</v>
      </c>
      <c r="J16" s="44">
        <f>SUM(J17:J25)</f>
        <v>2608821021</v>
      </c>
      <c r="K16" s="44">
        <f>SUM(K17:K25)</f>
        <v>3081579195</v>
      </c>
    </row>
    <row r="17" spans="1:11" ht="12.75">
      <c r="A17" s="225" t="s">
        <v>200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584990827</v>
      </c>
      <c r="K17" s="7">
        <v>662133556</v>
      </c>
    </row>
    <row r="18" spans="1:11" ht="12.75">
      <c r="A18" s="225" t="s">
        <v>234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1632961854</v>
      </c>
      <c r="K18" s="7">
        <v>1841721619</v>
      </c>
    </row>
    <row r="19" spans="1:11" ht="12.75">
      <c r="A19" s="225" t="s">
        <v>201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165833466</v>
      </c>
      <c r="K19" s="7">
        <v>174905438</v>
      </c>
    </row>
    <row r="20" spans="1:11" ht="12.75">
      <c r="A20" s="225" t="s">
        <v>25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51856611</v>
      </c>
      <c r="K20" s="7">
        <v>58854407</v>
      </c>
    </row>
    <row r="21" spans="1:11" ht="12.75">
      <c r="A21" s="225" t="s">
        <v>26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/>
      <c r="K21" s="7"/>
    </row>
    <row r="22" spans="1:11" ht="12.75">
      <c r="A22" s="225" t="s">
        <v>64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20807049</v>
      </c>
      <c r="K22" s="7">
        <v>23032581</v>
      </c>
    </row>
    <row r="23" spans="1:11" ht="12.75">
      <c r="A23" s="225" t="s">
        <v>65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107706274</v>
      </c>
      <c r="K23" s="7">
        <v>278180698</v>
      </c>
    </row>
    <row r="24" spans="1:11" ht="12.75">
      <c r="A24" s="225" t="s">
        <v>66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21732890</v>
      </c>
      <c r="K24" s="7">
        <v>20397389</v>
      </c>
    </row>
    <row r="25" spans="1:11" ht="12.75">
      <c r="A25" s="225" t="s">
        <v>67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22932050</v>
      </c>
      <c r="K25" s="7">
        <v>22353507</v>
      </c>
    </row>
    <row r="26" spans="1:11" ht="12.75">
      <c r="A26" s="225" t="s">
        <v>180</v>
      </c>
      <c r="B26" s="226"/>
      <c r="C26" s="226"/>
      <c r="D26" s="226"/>
      <c r="E26" s="226"/>
      <c r="F26" s="226"/>
      <c r="G26" s="226"/>
      <c r="H26" s="227"/>
      <c r="I26" s="1">
        <v>20</v>
      </c>
      <c r="J26" s="44">
        <f>SUM(J27:J34)</f>
        <v>43432067</v>
      </c>
      <c r="K26" s="44">
        <f>SUM(K27:K34)</f>
        <v>46775145</v>
      </c>
    </row>
    <row r="27" spans="1:11" ht="12.75">
      <c r="A27" s="225" t="s">
        <v>68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1339638</v>
      </c>
      <c r="K27" s="7">
        <v>1520469</v>
      </c>
    </row>
    <row r="28" spans="1:11" ht="12.75">
      <c r="A28" s="225" t="s">
        <v>69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/>
      <c r="K28" s="7"/>
    </row>
    <row r="29" spans="1:11" ht="12.75">
      <c r="A29" s="225" t="s">
        <v>70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140000</v>
      </c>
      <c r="K29" s="7">
        <v>140000</v>
      </c>
    </row>
    <row r="30" spans="1:11" ht="12.75">
      <c r="A30" s="225" t="s">
        <v>75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</row>
    <row r="31" spans="1:11" ht="12.75">
      <c r="A31" s="225" t="s">
        <v>76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41952429</v>
      </c>
      <c r="K31" s="7">
        <v>44659849</v>
      </c>
    </row>
    <row r="32" spans="1:11" ht="12.75">
      <c r="A32" s="225" t="s">
        <v>77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/>
      <c r="K32" s="7">
        <v>454827</v>
      </c>
    </row>
    <row r="33" spans="1:11" ht="12.75">
      <c r="A33" s="225" t="s">
        <v>71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/>
      <c r="K33" s="7"/>
    </row>
    <row r="34" spans="1:11" ht="12.75">
      <c r="A34" s="225" t="s">
        <v>308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7"/>
      <c r="I35" s="1">
        <v>29</v>
      </c>
      <c r="J35" s="44">
        <f>SUM(J36:J38)</f>
        <v>732724</v>
      </c>
      <c r="K35" s="44">
        <f>SUM(K36:K38)</f>
        <v>679727</v>
      </c>
    </row>
    <row r="36" spans="1:11" ht="12.75">
      <c r="A36" s="225" t="s">
        <v>72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</row>
    <row r="37" spans="1:11" ht="12.75">
      <c r="A37" s="225" t="s">
        <v>73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372432</v>
      </c>
      <c r="K37" s="7">
        <v>323274</v>
      </c>
    </row>
    <row r="38" spans="1:11" ht="12.75">
      <c r="A38" s="225" t="s">
        <v>74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360292</v>
      </c>
      <c r="K38" s="7">
        <v>356453</v>
      </c>
    </row>
    <row r="39" spans="1:11" ht="12.75">
      <c r="A39" s="225" t="s">
        <v>175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83416322</v>
      </c>
      <c r="K39" s="7">
        <v>84053659</v>
      </c>
    </row>
    <row r="40" spans="1:11" ht="12.75">
      <c r="A40" s="228" t="s">
        <v>227</v>
      </c>
      <c r="B40" s="229"/>
      <c r="C40" s="229"/>
      <c r="D40" s="229"/>
      <c r="E40" s="229"/>
      <c r="F40" s="229"/>
      <c r="G40" s="229"/>
      <c r="H40" s="230"/>
      <c r="I40" s="1">
        <v>34</v>
      </c>
      <c r="J40" s="44">
        <f>J41+J49+J56+J64</f>
        <v>238600677</v>
      </c>
      <c r="K40" s="44">
        <f>K41+K49+K56+K64</f>
        <v>251296438</v>
      </c>
    </row>
    <row r="41" spans="1:11" ht="12.75">
      <c r="A41" s="225" t="s">
        <v>92</v>
      </c>
      <c r="B41" s="226"/>
      <c r="C41" s="226"/>
      <c r="D41" s="226"/>
      <c r="E41" s="226"/>
      <c r="F41" s="226"/>
      <c r="G41" s="226"/>
      <c r="H41" s="227"/>
      <c r="I41" s="1">
        <v>35</v>
      </c>
      <c r="J41" s="44">
        <f>SUM(J42:J48)</f>
        <v>7278488</v>
      </c>
      <c r="K41" s="44">
        <f>SUM(K42:K48)</f>
        <v>10800337</v>
      </c>
    </row>
    <row r="42" spans="1:11" ht="12.75">
      <c r="A42" s="225" t="s">
        <v>109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6329111</v>
      </c>
      <c r="K42" s="7">
        <v>9438754</v>
      </c>
    </row>
    <row r="43" spans="1:11" ht="12.75">
      <c r="A43" s="225" t="s">
        <v>110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/>
      <c r="K43" s="7"/>
    </row>
    <row r="44" spans="1:11" ht="12.75">
      <c r="A44" s="225" t="s">
        <v>78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/>
      <c r="K44" s="7"/>
    </row>
    <row r="45" spans="1:11" ht="12.75">
      <c r="A45" s="225" t="s">
        <v>79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204383</v>
      </c>
      <c r="K45" s="7">
        <v>616589</v>
      </c>
    </row>
    <row r="46" spans="1:11" ht="12.75">
      <c r="A46" s="225" t="s">
        <v>80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/>
      <c r="K46" s="7"/>
    </row>
    <row r="47" spans="1:11" ht="12.75">
      <c r="A47" s="225" t="s">
        <v>81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744994</v>
      </c>
      <c r="K47" s="7">
        <v>744994</v>
      </c>
    </row>
    <row r="48" spans="1:11" ht="12.75">
      <c r="A48" s="225" t="s">
        <v>82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</row>
    <row r="49" spans="1:11" ht="12.75">
      <c r="A49" s="225" t="s">
        <v>93</v>
      </c>
      <c r="B49" s="226"/>
      <c r="C49" s="226"/>
      <c r="D49" s="226"/>
      <c r="E49" s="226"/>
      <c r="F49" s="226"/>
      <c r="G49" s="226"/>
      <c r="H49" s="227"/>
      <c r="I49" s="1">
        <v>43</v>
      </c>
      <c r="J49" s="44">
        <f>SUM(J50:J55)</f>
        <v>34888703</v>
      </c>
      <c r="K49" s="44">
        <f>SUM(K50:K55)</f>
        <v>86845693</v>
      </c>
    </row>
    <row r="50" spans="1:11" ht="12.75">
      <c r="A50" s="225" t="s">
        <v>189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/>
      <c r="K50" s="7">
        <v>1673</v>
      </c>
    </row>
    <row r="51" spans="1:11" ht="12.75">
      <c r="A51" s="225" t="s">
        <v>190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19301006</v>
      </c>
      <c r="K51" s="7">
        <v>67815301</v>
      </c>
    </row>
    <row r="52" spans="1:11" ht="12.75">
      <c r="A52" s="225" t="s">
        <v>191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/>
      <c r="K52" s="7"/>
    </row>
    <row r="53" spans="1:11" ht="12.75">
      <c r="A53" s="225" t="s">
        <v>192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345834</v>
      </c>
      <c r="K53" s="7">
        <v>3538897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10641936</v>
      </c>
      <c r="K54" s="7">
        <v>7222612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4599927</v>
      </c>
      <c r="K55" s="7">
        <v>8267210</v>
      </c>
    </row>
    <row r="56" spans="1:11" ht="12.75">
      <c r="A56" s="225" t="s">
        <v>94</v>
      </c>
      <c r="B56" s="226"/>
      <c r="C56" s="226"/>
      <c r="D56" s="226"/>
      <c r="E56" s="226"/>
      <c r="F56" s="226"/>
      <c r="G56" s="226"/>
      <c r="H56" s="227"/>
      <c r="I56" s="1">
        <v>50</v>
      </c>
      <c r="J56" s="44">
        <f>SUM(J57:J63)</f>
        <v>1231982</v>
      </c>
      <c r="K56" s="44">
        <f>SUM(K57:K63)</f>
        <v>3942200</v>
      </c>
    </row>
    <row r="57" spans="1:11" ht="12.75">
      <c r="A57" s="225" t="s">
        <v>68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/>
    </row>
    <row r="58" spans="1:11" ht="12.75">
      <c r="A58" s="225" t="s">
        <v>69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/>
      <c r="K58" s="7"/>
    </row>
    <row r="59" spans="1:11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</row>
    <row r="60" spans="1:11" ht="12.75">
      <c r="A60" s="225" t="s">
        <v>75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</row>
    <row r="61" spans="1:11" ht="12.75">
      <c r="A61" s="225" t="s">
        <v>76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1091162</v>
      </c>
      <c r="K61" s="7">
        <v>1061717</v>
      </c>
    </row>
    <row r="62" spans="1:11" ht="12.75">
      <c r="A62" s="225" t="s">
        <v>77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140820</v>
      </c>
      <c r="K62" s="7">
        <v>788267</v>
      </c>
    </row>
    <row r="63" spans="1:11" ht="12.75">
      <c r="A63" s="225" t="s">
        <v>39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/>
      <c r="K63" s="7">
        <v>2092216</v>
      </c>
    </row>
    <row r="64" spans="1:11" ht="12.75">
      <c r="A64" s="225" t="s">
        <v>196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195201504</v>
      </c>
      <c r="K64" s="7">
        <v>149708208</v>
      </c>
    </row>
    <row r="65" spans="1:11" ht="12.75">
      <c r="A65" s="228" t="s">
        <v>49</v>
      </c>
      <c r="B65" s="229"/>
      <c r="C65" s="229"/>
      <c r="D65" s="229"/>
      <c r="E65" s="229"/>
      <c r="F65" s="229"/>
      <c r="G65" s="229"/>
      <c r="H65" s="230"/>
      <c r="I65" s="1">
        <v>59</v>
      </c>
      <c r="J65" s="7">
        <v>25415099</v>
      </c>
      <c r="K65" s="7">
        <v>78802268</v>
      </c>
    </row>
    <row r="66" spans="1:11" ht="12.75">
      <c r="A66" s="228" t="s">
        <v>228</v>
      </c>
      <c r="B66" s="229"/>
      <c r="C66" s="229"/>
      <c r="D66" s="229"/>
      <c r="E66" s="229"/>
      <c r="F66" s="229"/>
      <c r="G66" s="229"/>
      <c r="H66" s="230"/>
      <c r="I66" s="1">
        <v>60</v>
      </c>
      <c r="J66" s="44">
        <f>J7+J8+J40+J65</f>
        <v>3015504267</v>
      </c>
      <c r="K66" s="44">
        <f>K7+K8+K40+K65</f>
        <v>3557944623</v>
      </c>
    </row>
    <row r="67" spans="1:11" ht="12.75">
      <c r="A67" s="240" t="s">
        <v>83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>
        <v>54834429</v>
      </c>
      <c r="K67" s="8">
        <v>54763139.7</v>
      </c>
    </row>
    <row r="68" spans="1:11" ht="12.75">
      <c r="A68" s="217" t="s">
        <v>51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4"/>
    </row>
    <row r="69" spans="1:11" ht="12.75">
      <c r="A69" s="221" t="s">
        <v>181</v>
      </c>
      <c r="B69" s="222"/>
      <c r="C69" s="222"/>
      <c r="D69" s="222"/>
      <c r="E69" s="222"/>
      <c r="F69" s="222"/>
      <c r="G69" s="222"/>
      <c r="H69" s="239"/>
      <c r="I69" s="3">
        <v>62</v>
      </c>
      <c r="J69" s="45">
        <f>J70+J71+J72+J78+J79+J82+J85</f>
        <v>1883736622</v>
      </c>
      <c r="K69" s="45">
        <f>K70+K71+K72+K78+K79+K82+K85</f>
        <v>1712301616</v>
      </c>
    </row>
    <row r="70" spans="1:11" ht="12.75">
      <c r="A70" s="225" t="s">
        <v>133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1672021210</v>
      </c>
      <c r="K70" s="7">
        <v>1672021210</v>
      </c>
    </row>
    <row r="71" spans="1:11" ht="12.75">
      <c r="A71" s="225" t="s">
        <v>134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-18596391</v>
      </c>
      <c r="K71" s="7">
        <v>39505</v>
      </c>
    </row>
    <row r="72" spans="1:11" ht="12.75">
      <c r="A72" s="225" t="s">
        <v>135</v>
      </c>
      <c r="B72" s="226"/>
      <c r="C72" s="226"/>
      <c r="D72" s="226"/>
      <c r="E72" s="226"/>
      <c r="F72" s="226"/>
      <c r="G72" s="226"/>
      <c r="H72" s="227"/>
      <c r="I72" s="1">
        <v>65</v>
      </c>
      <c r="J72" s="44">
        <f>J73+J74-J75+J76+J77</f>
        <v>94257647</v>
      </c>
      <c r="K72" s="44">
        <f>K73+K74-K75+K76+K77</f>
        <v>68445427</v>
      </c>
    </row>
    <row r="73" spans="1:11" ht="12.75">
      <c r="A73" s="225" t="s">
        <v>136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60724657</v>
      </c>
      <c r="K73" s="7">
        <v>61906040</v>
      </c>
    </row>
    <row r="74" spans="1:11" ht="12.75">
      <c r="A74" s="225" t="s">
        <v>137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24344407</v>
      </c>
      <c r="K74" s="7">
        <v>24344407</v>
      </c>
    </row>
    <row r="75" spans="1:11" ht="12.75">
      <c r="A75" s="225" t="s">
        <v>125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13303107</v>
      </c>
      <c r="K75" s="7">
        <v>17805366</v>
      </c>
    </row>
    <row r="76" spans="1:11" ht="12.75">
      <c r="A76" s="225" t="s">
        <v>126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/>
      <c r="K76" s="7"/>
    </row>
    <row r="77" spans="1:11" ht="12.75">
      <c r="A77" s="225" t="s">
        <v>127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22491690</v>
      </c>
      <c r="K77" s="7">
        <v>346</v>
      </c>
    </row>
    <row r="78" spans="1:11" ht="12.75">
      <c r="A78" s="225" t="s">
        <v>128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29413744</v>
      </c>
      <c r="K78" s="7">
        <v>31084291</v>
      </c>
    </row>
    <row r="79" spans="1:11" ht="12.75">
      <c r="A79" s="225" t="s">
        <v>225</v>
      </c>
      <c r="B79" s="226"/>
      <c r="C79" s="226"/>
      <c r="D79" s="226"/>
      <c r="E79" s="226"/>
      <c r="F79" s="226"/>
      <c r="G79" s="226"/>
      <c r="H79" s="227"/>
      <c r="I79" s="1">
        <v>72</v>
      </c>
      <c r="J79" s="44">
        <f>J80-J81</f>
        <v>55168035</v>
      </c>
      <c r="K79" s="44">
        <f>K80-K81</f>
        <v>39959499</v>
      </c>
    </row>
    <row r="80" spans="1:11" ht="12.75">
      <c r="A80" s="236" t="s">
        <v>160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55168035</v>
      </c>
      <c r="K80" s="7">
        <v>39959499</v>
      </c>
    </row>
    <row r="81" spans="1:11" ht="12.75">
      <c r="A81" s="236" t="s">
        <v>161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/>
      <c r="K81" s="7"/>
    </row>
    <row r="82" spans="1:11" ht="12.75">
      <c r="A82" s="225" t="s">
        <v>226</v>
      </c>
      <c r="B82" s="226"/>
      <c r="C82" s="226"/>
      <c r="D82" s="226"/>
      <c r="E82" s="226"/>
      <c r="F82" s="226"/>
      <c r="G82" s="226"/>
      <c r="H82" s="227"/>
      <c r="I82" s="1">
        <v>75</v>
      </c>
      <c r="J82" s="44">
        <f>J83-J84</f>
        <v>51381272</v>
      </c>
      <c r="K82" s="44">
        <f>K83-K84</f>
        <v>-108623872</v>
      </c>
    </row>
    <row r="83" spans="1:11" ht="12.75">
      <c r="A83" s="236" t="s">
        <v>162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51381272</v>
      </c>
      <c r="K83" s="7"/>
    </row>
    <row r="84" spans="1:11" ht="12.75">
      <c r="A84" s="236" t="s">
        <v>163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>
        <v>108623872</v>
      </c>
    </row>
    <row r="85" spans="1:11" ht="12.75">
      <c r="A85" s="225" t="s">
        <v>164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91105</v>
      </c>
      <c r="K85" s="7">
        <v>9375556</v>
      </c>
    </row>
    <row r="86" spans="1:11" ht="12.75">
      <c r="A86" s="228" t="s">
        <v>17</v>
      </c>
      <c r="B86" s="229"/>
      <c r="C86" s="229"/>
      <c r="D86" s="229"/>
      <c r="E86" s="229"/>
      <c r="F86" s="229"/>
      <c r="G86" s="229"/>
      <c r="H86" s="230"/>
      <c r="I86" s="1">
        <v>79</v>
      </c>
      <c r="J86" s="44">
        <f>SUM(J87:J89)</f>
        <v>266430</v>
      </c>
      <c r="K86" s="44">
        <f>SUM(K87:K89)</f>
        <v>0</v>
      </c>
    </row>
    <row r="87" spans="1:11" ht="12.75">
      <c r="A87" s="225" t="s">
        <v>121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/>
      <c r="K87" s="7"/>
    </row>
    <row r="88" spans="1:11" ht="12.75">
      <c r="A88" s="225" t="s">
        <v>122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55574</v>
      </c>
      <c r="K88" s="7"/>
    </row>
    <row r="89" spans="1:11" ht="12.75">
      <c r="A89" s="225" t="s">
        <v>123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210856</v>
      </c>
      <c r="K89" s="7"/>
    </row>
    <row r="90" spans="1:11" ht="12.75">
      <c r="A90" s="228" t="s">
        <v>18</v>
      </c>
      <c r="B90" s="229"/>
      <c r="C90" s="229"/>
      <c r="D90" s="229"/>
      <c r="E90" s="229"/>
      <c r="F90" s="229"/>
      <c r="G90" s="229"/>
      <c r="H90" s="230"/>
      <c r="I90" s="1">
        <v>83</v>
      </c>
      <c r="J90" s="44">
        <f>SUM(J91:J99)</f>
        <v>828398720</v>
      </c>
      <c r="K90" s="44">
        <f>SUM(K91:K99)</f>
        <v>1224197181</v>
      </c>
    </row>
    <row r="91" spans="1:11" ht="12.75">
      <c r="A91" s="225" t="s">
        <v>124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/>
      <c r="K91" s="7"/>
    </row>
    <row r="92" spans="1:11" ht="12.75">
      <c r="A92" s="225" t="s">
        <v>230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/>
      <c r="K92" s="7"/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822163177</v>
      </c>
      <c r="K93" s="7">
        <v>1217153943</v>
      </c>
    </row>
    <row r="94" spans="1:11" ht="12.75">
      <c r="A94" s="225" t="s">
        <v>231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</row>
    <row r="95" spans="1:11" ht="12.75">
      <c r="A95" s="225" t="s">
        <v>232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</row>
    <row r="96" spans="1:11" ht="12.75">
      <c r="A96" s="225" t="s">
        <v>233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</row>
    <row r="97" spans="1:11" ht="12.75">
      <c r="A97" s="225" t="s">
        <v>86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</row>
    <row r="98" spans="1:11" ht="12.75">
      <c r="A98" s="225" t="s">
        <v>84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3937690</v>
      </c>
      <c r="K98" s="7">
        <v>4327748</v>
      </c>
    </row>
    <row r="99" spans="1:11" ht="12.75">
      <c r="A99" s="225" t="s">
        <v>85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2297853</v>
      </c>
      <c r="K99" s="7">
        <v>2715490</v>
      </c>
    </row>
    <row r="100" spans="1:11" ht="12.75">
      <c r="A100" s="228" t="s">
        <v>19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44">
        <f>SUM(J101:J112)</f>
        <v>219471425</v>
      </c>
      <c r="K100" s="44">
        <f>SUM(K101:K112)</f>
        <v>546672949</v>
      </c>
    </row>
    <row r="101" spans="1:11" ht="12.75">
      <c r="A101" s="225" t="s">
        <v>124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108119</v>
      </c>
      <c r="K101" s="7">
        <v>73148</v>
      </c>
    </row>
    <row r="102" spans="1:11" ht="12.75">
      <c r="A102" s="225" t="s">
        <v>230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/>
      <c r="K102" s="7">
        <v>10000000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103814699</v>
      </c>
      <c r="K103" s="7">
        <v>132711407</v>
      </c>
    </row>
    <row r="104" spans="1:11" ht="12.75">
      <c r="A104" s="225" t="s">
        <v>231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12627056</v>
      </c>
      <c r="K104" s="7">
        <v>134184780</v>
      </c>
    </row>
    <row r="105" spans="1:11" ht="12.75">
      <c r="A105" s="225" t="s">
        <v>232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77024650</v>
      </c>
      <c r="K105" s="7">
        <v>138755635</v>
      </c>
    </row>
    <row r="106" spans="1:11" ht="12.75">
      <c r="A106" s="225" t="s">
        <v>233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/>
      <c r="K106" s="7"/>
    </row>
    <row r="107" spans="1:11" ht="12.75">
      <c r="A107" s="225" t="s">
        <v>86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/>
      <c r="K107" s="7"/>
    </row>
    <row r="108" spans="1:11" ht="12.75">
      <c r="A108" s="225" t="s">
        <v>87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15929103</v>
      </c>
      <c r="K108" s="7">
        <v>26646815</v>
      </c>
    </row>
    <row r="109" spans="1:11" ht="12.75">
      <c r="A109" s="225" t="s">
        <v>88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9009700</v>
      </c>
      <c r="K109" s="7">
        <v>29706570</v>
      </c>
    </row>
    <row r="110" spans="1:11" ht="12.75">
      <c r="A110" s="225" t="s">
        <v>91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12418</v>
      </c>
      <c r="K110" s="7">
        <v>68965512</v>
      </c>
    </row>
    <row r="111" spans="1:11" ht="12.75">
      <c r="A111" s="225" t="s">
        <v>89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</row>
    <row r="112" spans="1:11" ht="12.75">
      <c r="A112" s="225" t="s">
        <v>90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945680</v>
      </c>
      <c r="K112" s="7">
        <v>5629082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7">
        <v>83631070</v>
      </c>
      <c r="K113" s="7">
        <v>74772877</v>
      </c>
    </row>
    <row r="114" spans="1:11" ht="12.75">
      <c r="A114" s="228" t="s">
        <v>23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44">
        <f>J69+J86+J90+J100+J113</f>
        <v>3015504267</v>
      </c>
      <c r="K114" s="44">
        <f>K69+K86+K90+K100+K113</f>
        <v>3557944623</v>
      </c>
    </row>
    <row r="115" spans="1:11" ht="12.75">
      <c r="A115" s="214" t="s">
        <v>50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8">
        <v>54834429</v>
      </c>
      <c r="K115" s="8">
        <v>54763140</v>
      </c>
    </row>
    <row r="116" spans="1:11" ht="12.75">
      <c r="A116" s="217" t="s">
        <v>296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221" t="s">
        <v>176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>
        <f>+J69-J119</f>
        <v>1883645517</v>
      </c>
      <c r="K118" s="7">
        <f>+K69-K119</f>
        <v>1702926060</v>
      </c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f>+J85</f>
        <v>91105</v>
      </c>
      <c r="K119" s="8">
        <f>+K85</f>
        <v>9375556</v>
      </c>
    </row>
    <row r="120" spans="1:11" ht="12.75">
      <c r="A120" s="234" t="s">
        <v>297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  <row r="123" spans="10:12" ht="12.75">
      <c r="J123" s="126"/>
      <c r="K123" s="126"/>
      <c r="L123" s="130"/>
    </row>
    <row r="124" spans="10:12" ht="12.75">
      <c r="J124" s="127">
        <f>+J114-J66</f>
        <v>0</v>
      </c>
      <c r="K124" s="127">
        <f>+K114-K66</f>
        <v>0</v>
      </c>
      <c r="L124" s="130"/>
    </row>
    <row r="125" spans="10:12" ht="12.75">
      <c r="J125" s="126"/>
      <c r="K125" s="126"/>
      <c r="L125" s="130"/>
    </row>
    <row r="126" spans="10:12" ht="12.75">
      <c r="J126" s="126"/>
      <c r="K126" s="126"/>
      <c r="L126" s="1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:J9 J16 J26 J35 J40:J41 J49 J56 J66 J68:J69 J72 J79:K79 J81:J82 J86 J90 J100 J114 J116:J117 L1:IV65536 K80:K117 K1:K78 J120:K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 J83:J84 J87:J89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28">
      <selection activeCell="L65" sqref="L65"/>
    </sheetView>
  </sheetViews>
  <sheetFormatPr defaultColWidth="9.140625" defaultRowHeight="12.75"/>
  <cols>
    <col min="1" max="9" width="9.140625" style="43" customWidth="1"/>
    <col min="10" max="10" width="10.7109375" style="43" customWidth="1"/>
    <col min="11" max="11" width="11.00390625" style="43" customWidth="1"/>
    <col min="12" max="12" width="10.421875" style="43" bestFit="1" customWidth="1"/>
    <col min="13" max="13" width="10.28125" style="43" customWidth="1"/>
    <col min="14" max="16384" width="9.140625" style="43" customWidth="1"/>
  </cols>
  <sheetData>
    <row r="1" spans="1:13" ht="12.75" customHeight="1">
      <c r="A1" s="260" t="s">
        <v>146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</row>
    <row r="2" spans="1:13" ht="12.75" customHeight="1">
      <c r="A2" s="257" t="s">
        <v>352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1:13" ht="12.75" customHeight="1">
      <c r="A3" s="282" t="s">
        <v>344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</row>
    <row r="4" spans="1:13" ht="23.25">
      <c r="A4" s="285" t="s">
        <v>52</v>
      </c>
      <c r="B4" s="285"/>
      <c r="C4" s="285"/>
      <c r="D4" s="285"/>
      <c r="E4" s="285"/>
      <c r="F4" s="285"/>
      <c r="G4" s="285"/>
      <c r="H4" s="285"/>
      <c r="I4" s="49" t="s">
        <v>266</v>
      </c>
      <c r="J4" s="286" t="s">
        <v>304</v>
      </c>
      <c r="K4" s="286"/>
      <c r="L4" s="286" t="s">
        <v>305</v>
      </c>
      <c r="M4" s="286"/>
    </row>
    <row r="5" spans="1:13" ht="22.5">
      <c r="A5" s="285"/>
      <c r="B5" s="285"/>
      <c r="C5" s="285"/>
      <c r="D5" s="285"/>
      <c r="E5" s="285"/>
      <c r="F5" s="285"/>
      <c r="G5" s="285"/>
      <c r="H5" s="285"/>
      <c r="I5" s="49"/>
      <c r="J5" s="51" t="s">
        <v>300</v>
      </c>
      <c r="K5" s="51" t="s">
        <v>301</v>
      </c>
      <c r="L5" s="51" t="s">
        <v>300</v>
      </c>
      <c r="M5" s="51" t="s">
        <v>301</v>
      </c>
    </row>
    <row r="6" spans="1:13" ht="12.75">
      <c r="A6" s="286">
        <v>1</v>
      </c>
      <c r="B6" s="286"/>
      <c r="C6" s="286"/>
      <c r="D6" s="286"/>
      <c r="E6" s="286"/>
      <c r="F6" s="286"/>
      <c r="G6" s="286"/>
      <c r="H6" s="286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1" t="s">
        <v>24</v>
      </c>
      <c r="B7" s="222"/>
      <c r="C7" s="222"/>
      <c r="D7" s="222"/>
      <c r="E7" s="222"/>
      <c r="F7" s="222"/>
      <c r="G7" s="222"/>
      <c r="H7" s="239"/>
      <c r="I7" s="3">
        <v>111</v>
      </c>
      <c r="J7" s="45">
        <f>SUM(J8:J9)</f>
        <v>316909933.53999996</v>
      </c>
      <c r="K7" s="45">
        <f>SUM(K8:K9)</f>
        <v>298221181.53999996</v>
      </c>
      <c r="L7" s="45">
        <f>SUM(L8:L9)</f>
        <v>355409985.2</v>
      </c>
      <c r="M7" s="45">
        <f>SUM(M8:M9)</f>
        <v>331426428.2</v>
      </c>
    </row>
    <row r="8" spans="1:13" ht="12.75">
      <c r="A8" s="228" t="s">
        <v>144</v>
      </c>
      <c r="B8" s="229"/>
      <c r="C8" s="229"/>
      <c r="D8" s="229"/>
      <c r="E8" s="229"/>
      <c r="F8" s="229"/>
      <c r="G8" s="229"/>
      <c r="H8" s="230"/>
      <c r="I8" s="1">
        <v>112</v>
      </c>
      <c r="J8" s="7">
        <v>311862206.26</v>
      </c>
      <c r="K8" s="7">
        <f>+J8-15943840</f>
        <v>295918366.26</v>
      </c>
      <c r="L8" s="7">
        <v>342821905</v>
      </c>
      <c r="M8" s="7">
        <f>+L8-17016200</f>
        <v>325805705</v>
      </c>
    </row>
    <row r="9" spans="1:13" ht="12.75">
      <c r="A9" s="228" t="s">
        <v>95</v>
      </c>
      <c r="B9" s="229"/>
      <c r="C9" s="229"/>
      <c r="D9" s="229"/>
      <c r="E9" s="229"/>
      <c r="F9" s="229"/>
      <c r="G9" s="229"/>
      <c r="H9" s="230"/>
      <c r="I9" s="1">
        <v>113</v>
      </c>
      <c r="J9" s="7">
        <f>137196.97+4910530.31</f>
        <v>5047727.279999999</v>
      </c>
      <c r="K9" s="7">
        <f>+J9-2744912</f>
        <v>2302815.2799999993</v>
      </c>
      <c r="L9" s="7">
        <f>1131959.2+11456121</f>
        <v>12588080.2</v>
      </c>
      <c r="M9" s="7">
        <f>+L9-6967357</f>
        <v>5620723.199999999</v>
      </c>
    </row>
    <row r="10" spans="1:13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44">
        <f>J11+J12+J16+J20+J21+J22+J25+J26</f>
        <v>440209547.33000004</v>
      </c>
      <c r="K10" s="44">
        <f>K11+K12+K16+K20+K21+K22+K25+K26</f>
        <v>291641837.33000004</v>
      </c>
      <c r="L10" s="44">
        <f>L11+L12+L16+L20+L21+L22+L25+L26</f>
        <v>440414953</v>
      </c>
      <c r="M10" s="44">
        <f>M11+M12+M16+M20+M21+M22+M25+M26</f>
        <v>295630439</v>
      </c>
    </row>
    <row r="11" spans="1:13" ht="12.75">
      <c r="A11" s="228" t="s">
        <v>96</v>
      </c>
      <c r="B11" s="229"/>
      <c r="C11" s="229"/>
      <c r="D11" s="229"/>
      <c r="E11" s="229"/>
      <c r="F11" s="229"/>
      <c r="G11" s="229"/>
      <c r="H11" s="230"/>
      <c r="I11" s="1">
        <v>115</v>
      </c>
      <c r="J11" s="7"/>
      <c r="K11" s="7"/>
      <c r="L11" s="7"/>
      <c r="M11" s="7"/>
    </row>
    <row r="12" spans="1:13" ht="12.75">
      <c r="A12" s="228" t="s">
        <v>20</v>
      </c>
      <c r="B12" s="229"/>
      <c r="C12" s="229"/>
      <c r="D12" s="229"/>
      <c r="E12" s="229"/>
      <c r="F12" s="229"/>
      <c r="G12" s="229"/>
      <c r="H12" s="230"/>
      <c r="I12" s="1">
        <v>116</v>
      </c>
      <c r="J12" s="44">
        <f>SUM(J13:J15)</f>
        <v>141012831.22</v>
      </c>
      <c r="K12" s="44">
        <f>SUM(K13:K15)</f>
        <v>116745474.22</v>
      </c>
      <c r="L12" s="44">
        <f>SUM(L13:L15)</f>
        <v>147151247</v>
      </c>
      <c r="M12" s="44">
        <f>SUM(M13:M15)</f>
        <v>118205173</v>
      </c>
    </row>
    <row r="13" spans="1:13" ht="12.75">
      <c r="A13" s="225" t="s">
        <v>138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73575954.75</v>
      </c>
      <c r="K13" s="7">
        <f>+J13-9463391</f>
        <v>64112563.75</v>
      </c>
      <c r="L13" s="7">
        <v>80644792</v>
      </c>
      <c r="M13" s="7">
        <f>+L13-12689921</f>
        <v>67954871</v>
      </c>
    </row>
    <row r="14" spans="1:13" ht="12.75">
      <c r="A14" s="225" t="s">
        <v>139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279171.8</v>
      </c>
      <c r="K14" s="7">
        <f>+J14-13964</f>
        <v>265207.8</v>
      </c>
      <c r="L14" s="7">
        <v>391622</v>
      </c>
      <c r="M14" s="7">
        <f>+L14-8454</f>
        <v>383168</v>
      </c>
    </row>
    <row r="15" spans="1:13" ht="12.75">
      <c r="A15" s="225" t="s">
        <v>54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67157704.67</v>
      </c>
      <c r="K15" s="7">
        <f>+J15-14790002</f>
        <v>52367702.67</v>
      </c>
      <c r="L15" s="7">
        <v>66114833</v>
      </c>
      <c r="M15" s="7">
        <f>+L15-16247699</f>
        <v>49867134</v>
      </c>
    </row>
    <row r="16" spans="1:13" ht="12.75">
      <c r="A16" s="228" t="s">
        <v>21</v>
      </c>
      <c r="B16" s="229"/>
      <c r="C16" s="229"/>
      <c r="D16" s="229"/>
      <c r="E16" s="229"/>
      <c r="F16" s="229"/>
      <c r="G16" s="229"/>
      <c r="H16" s="230"/>
      <c r="I16" s="1">
        <v>120</v>
      </c>
      <c r="J16" s="44">
        <f>SUM(J17:J19)</f>
        <v>102383574.24000001</v>
      </c>
      <c r="K16" s="44">
        <f>SUM(K17:K19)</f>
        <v>72887365.24000001</v>
      </c>
      <c r="L16" s="44">
        <f>SUM(L17:L19)</f>
        <v>126494254</v>
      </c>
      <c r="M16" s="44">
        <f>SUM(M17:M19)</f>
        <v>88912055</v>
      </c>
    </row>
    <row r="17" spans="1:13" ht="12.75">
      <c r="A17" s="225" t="s">
        <v>55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62068150.06</v>
      </c>
      <c r="K17" s="7">
        <f>+J17-18013438</f>
        <v>44054712.06</v>
      </c>
      <c r="L17" s="7">
        <v>75441730</v>
      </c>
      <c r="M17" s="7">
        <f>+L17-21752669</f>
        <v>53689061</v>
      </c>
    </row>
    <row r="18" spans="1:13" ht="12.75">
      <c r="A18" s="225" t="s">
        <v>56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25831791.25</v>
      </c>
      <c r="K18" s="7">
        <f>+J18-7603209</f>
        <v>18228582.25</v>
      </c>
      <c r="L18" s="7">
        <v>33047039</v>
      </c>
      <c r="M18" s="7">
        <f>+L18-10378651</f>
        <v>22668388</v>
      </c>
    </row>
    <row r="19" spans="1:13" ht="12.75">
      <c r="A19" s="225" t="s">
        <v>57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14483632.93</v>
      </c>
      <c r="K19" s="7">
        <f>+J19-3879562</f>
        <v>10604070.93</v>
      </c>
      <c r="L19" s="7">
        <v>18005485</v>
      </c>
      <c r="M19" s="7">
        <f>+L19-5450879</f>
        <v>12554606</v>
      </c>
    </row>
    <row r="20" spans="1:13" ht="12.75">
      <c r="A20" s="228" t="s">
        <v>97</v>
      </c>
      <c r="B20" s="229"/>
      <c r="C20" s="229"/>
      <c r="D20" s="229"/>
      <c r="E20" s="229"/>
      <c r="F20" s="229"/>
      <c r="G20" s="229"/>
      <c r="H20" s="230"/>
      <c r="I20" s="1">
        <v>124</v>
      </c>
      <c r="J20" s="7">
        <v>116837491.46</v>
      </c>
      <c r="K20" s="7">
        <f>+J20-58418263</f>
        <v>58419228.45999999</v>
      </c>
      <c r="L20" s="7">
        <v>114797426</v>
      </c>
      <c r="M20" s="7">
        <f>+L20-57387303</f>
        <v>57410123</v>
      </c>
    </row>
    <row r="21" spans="1:13" ht="12.75">
      <c r="A21" s="228" t="s">
        <v>98</v>
      </c>
      <c r="B21" s="229"/>
      <c r="C21" s="229"/>
      <c r="D21" s="229"/>
      <c r="E21" s="229"/>
      <c r="F21" s="229"/>
      <c r="G21" s="229"/>
      <c r="H21" s="230"/>
      <c r="I21" s="1">
        <v>125</v>
      </c>
      <c r="J21" s="7">
        <v>75717159.15</v>
      </c>
      <c r="K21" s="7">
        <f>+J21-34919600</f>
        <v>40797559.150000006</v>
      </c>
      <c r="L21" s="7">
        <v>47403991</v>
      </c>
      <c r="M21" s="7">
        <f>+L21-18827980</f>
        <v>28576011</v>
      </c>
    </row>
    <row r="22" spans="1:13" ht="12.75">
      <c r="A22" s="228" t="s">
        <v>22</v>
      </c>
      <c r="B22" s="229"/>
      <c r="C22" s="229"/>
      <c r="D22" s="229"/>
      <c r="E22" s="229"/>
      <c r="F22" s="229"/>
      <c r="G22" s="229"/>
      <c r="H22" s="230"/>
      <c r="I22" s="1">
        <v>126</v>
      </c>
      <c r="J22" s="44">
        <f>SUM(J23:J24)</f>
        <v>34260.83</v>
      </c>
      <c r="K22" s="44">
        <f>SUM(K23:K24)</f>
        <v>-0.16999999999825377</v>
      </c>
      <c r="L22" s="44">
        <f>SUM(L23:L24)</f>
        <v>235807</v>
      </c>
      <c r="M22" s="44">
        <f>SUM(M23:M24)</f>
        <v>108959</v>
      </c>
    </row>
    <row r="23" spans="1:13" ht="12.75">
      <c r="A23" s="225" t="s">
        <v>129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/>
      <c r="K23" s="7"/>
      <c r="L23" s="7"/>
      <c r="M23" s="7"/>
    </row>
    <row r="24" spans="1:13" ht="12.75">
      <c r="A24" s="225" t="s">
        <v>130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34260.83</v>
      </c>
      <c r="K24" s="7">
        <f>+J24-34261</f>
        <v>-0.16999999999825377</v>
      </c>
      <c r="L24" s="7">
        <v>235807</v>
      </c>
      <c r="M24" s="7">
        <f>+L24-126848</f>
        <v>108959</v>
      </c>
    </row>
    <row r="25" spans="1:13" ht="12.75">
      <c r="A25" s="228" t="s">
        <v>99</v>
      </c>
      <c r="B25" s="229"/>
      <c r="C25" s="229"/>
      <c r="D25" s="229"/>
      <c r="E25" s="229"/>
      <c r="F25" s="229"/>
      <c r="G25" s="229"/>
      <c r="H25" s="230"/>
      <c r="I25" s="1">
        <v>129</v>
      </c>
      <c r="J25" s="7"/>
      <c r="K25" s="7"/>
      <c r="L25" s="7"/>
      <c r="M25" s="7"/>
    </row>
    <row r="26" spans="1:13" ht="12.75">
      <c r="A26" s="228" t="s">
        <v>43</v>
      </c>
      <c r="B26" s="229"/>
      <c r="C26" s="229"/>
      <c r="D26" s="229"/>
      <c r="E26" s="229"/>
      <c r="F26" s="229"/>
      <c r="G26" s="229"/>
      <c r="H26" s="230"/>
      <c r="I26" s="1">
        <v>130</v>
      </c>
      <c r="J26" s="7">
        <v>4224230.43</v>
      </c>
      <c r="K26" s="7">
        <f>+J26-1432020</f>
        <v>2792210.4299999997</v>
      </c>
      <c r="L26" s="7">
        <v>4332228</v>
      </c>
      <c r="M26" s="7">
        <f>+L26-1914110</f>
        <v>2418118</v>
      </c>
    </row>
    <row r="27" spans="1:13" ht="12.75">
      <c r="A27" s="228" t="s">
        <v>202</v>
      </c>
      <c r="B27" s="229"/>
      <c r="C27" s="229"/>
      <c r="D27" s="229"/>
      <c r="E27" s="229"/>
      <c r="F27" s="229"/>
      <c r="G27" s="229"/>
      <c r="H27" s="230"/>
      <c r="I27" s="1">
        <v>131</v>
      </c>
      <c r="J27" s="44">
        <f>SUM(J28:J32)</f>
        <v>3863480.5</v>
      </c>
      <c r="K27" s="44">
        <f>SUM(K28:K32)</f>
        <v>2546366.5</v>
      </c>
      <c r="L27" s="44">
        <f>SUM(L28:L32)</f>
        <v>16968671</v>
      </c>
      <c r="M27" s="44">
        <f>SUM(M28:M32)</f>
        <v>12544923</v>
      </c>
    </row>
    <row r="28" spans="1:13" ht="12.75">
      <c r="A28" s="266" t="s">
        <v>354</v>
      </c>
      <c r="B28" s="267"/>
      <c r="C28" s="267"/>
      <c r="D28" s="267"/>
      <c r="E28" s="267"/>
      <c r="F28" s="267"/>
      <c r="G28" s="267"/>
      <c r="H28" s="268"/>
      <c r="I28" s="1">
        <v>132</v>
      </c>
      <c r="J28" s="7"/>
      <c r="K28" s="7"/>
      <c r="L28" s="7"/>
      <c r="M28" s="7"/>
    </row>
    <row r="29" spans="1:13" ht="12.75">
      <c r="A29" s="266" t="s">
        <v>355</v>
      </c>
      <c r="B29" s="267"/>
      <c r="C29" s="267"/>
      <c r="D29" s="267"/>
      <c r="E29" s="267"/>
      <c r="F29" s="267"/>
      <c r="G29" s="267"/>
      <c r="H29" s="268"/>
      <c r="I29" s="1">
        <v>133</v>
      </c>
      <c r="J29" s="7">
        <v>1549597.09</v>
      </c>
      <c r="K29" s="7">
        <f>+J29-433300</f>
        <v>1116297.09</v>
      </c>
      <c r="L29" s="7">
        <v>12694032</v>
      </c>
      <c r="M29" s="7">
        <f>+L29-2598515</f>
        <v>10095517</v>
      </c>
    </row>
    <row r="30" spans="1:13" ht="12.75">
      <c r="A30" s="228" t="s">
        <v>131</v>
      </c>
      <c r="B30" s="229"/>
      <c r="C30" s="229"/>
      <c r="D30" s="229"/>
      <c r="E30" s="229"/>
      <c r="F30" s="229"/>
      <c r="G30" s="229"/>
      <c r="H30" s="230"/>
      <c r="I30" s="1">
        <v>134</v>
      </c>
      <c r="J30" s="7"/>
      <c r="K30" s="7"/>
      <c r="L30" s="7"/>
      <c r="M30" s="7"/>
    </row>
    <row r="31" spans="1:13" ht="12.75">
      <c r="A31" s="228" t="s">
        <v>212</v>
      </c>
      <c r="B31" s="229"/>
      <c r="C31" s="229"/>
      <c r="D31" s="229"/>
      <c r="E31" s="229"/>
      <c r="F31" s="229"/>
      <c r="G31" s="229"/>
      <c r="H31" s="230"/>
      <c r="I31" s="1">
        <v>135</v>
      </c>
      <c r="J31" s="7">
        <v>1411832.66</v>
      </c>
      <c r="K31" s="7">
        <f>+J31-697461</f>
        <v>714371.6599999999</v>
      </c>
      <c r="L31" s="7">
        <v>3353518</v>
      </c>
      <c r="M31" s="7">
        <f>+L31-1504345</f>
        <v>1849173</v>
      </c>
    </row>
    <row r="32" spans="1:13" ht="12.75">
      <c r="A32" s="228" t="s">
        <v>132</v>
      </c>
      <c r="B32" s="229"/>
      <c r="C32" s="229"/>
      <c r="D32" s="229"/>
      <c r="E32" s="229"/>
      <c r="F32" s="229"/>
      <c r="G32" s="229"/>
      <c r="H32" s="230"/>
      <c r="I32" s="1">
        <v>136</v>
      </c>
      <c r="J32" s="7">
        <v>902050.75</v>
      </c>
      <c r="K32" s="7">
        <f>+J32-186353</f>
        <v>715697.75</v>
      </c>
      <c r="L32" s="7">
        <v>921121</v>
      </c>
      <c r="M32" s="7">
        <f>+L32-320888</f>
        <v>600233</v>
      </c>
    </row>
    <row r="33" spans="1:13" ht="12.75">
      <c r="A33" s="228" t="s">
        <v>203</v>
      </c>
      <c r="B33" s="229"/>
      <c r="C33" s="229"/>
      <c r="D33" s="229"/>
      <c r="E33" s="229"/>
      <c r="F33" s="229"/>
      <c r="G33" s="229"/>
      <c r="H33" s="230"/>
      <c r="I33" s="1">
        <v>137</v>
      </c>
      <c r="J33" s="44">
        <f>SUM(J34:J37)</f>
        <v>12591457.78</v>
      </c>
      <c r="K33" s="44">
        <f>SUM(K34:K37)</f>
        <v>7608259.78</v>
      </c>
      <c r="L33" s="44">
        <f>SUM(L34:L37)</f>
        <v>41226017</v>
      </c>
      <c r="M33" s="44">
        <f>SUM(M34:M37)</f>
        <v>8327230</v>
      </c>
    </row>
    <row r="34" spans="1:13" ht="12.75">
      <c r="A34" s="228" t="s">
        <v>58</v>
      </c>
      <c r="B34" s="229"/>
      <c r="C34" s="229"/>
      <c r="D34" s="229"/>
      <c r="E34" s="229"/>
      <c r="F34" s="229"/>
      <c r="G34" s="229"/>
      <c r="H34" s="230"/>
      <c r="I34" s="1">
        <v>138</v>
      </c>
      <c r="J34" s="7"/>
      <c r="K34" s="7"/>
      <c r="L34" s="7"/>
      <c r="M34" s="7"/>
    </row>
    <row r="35" spans="1:13" ht="12.75">
      <c r="A35" s="266" t="s">
        <v>356</v>
      </c>
      <c r="B35" s="267"/>
      <c r="C35" s="267"/>
      <c r="D35" s="267"/>
      <c r="E35" s="267"/>
      <c r="F35" s="267"/>
      <c r="G35" s="267"/>
      <c r="H35" s="268"/>
      <c r="I35" s="1">
        <v>139</v>
      </c>
      <c r="J35" s="7">
        <v>11964460.58</v>
      </c>
      <c r="K35" s="7">
        <f>+J35-4674357</f>
        <v>7290103.58</v>
      </c>
      <c r="L35" s="7">
        <v>39196488</v>
      </c>
      <c r="M35" s="7">
        <f>+L35-31522235</f>
        <v>7674253</v>
      </c>
    </row>
    <row r="36" spans="1:13" ht="12.75">
      <c r="A36" s="228" t="s">
        <v>213</v>
      </c>
      <c r="B36" s="229"/>
      <c r="C36" s="229"/>
      <c r="D36" s="229"/>
      <c r="E36" s="229"/>
      <c r="F36" s="229"/>
      <c r="G36" s="229"/>
      <c r="H36" s="230"/>
      <c r="I36" s="1">
        <v>140</v>
      </c>
      <c r="J36" s="7"/>
      <c r="K36" s="7"/>
      <c r="L36" s="7">
        <v>1671778</v>
      </c>
      <c r="M36" s="7">
        <f>+L36-1266500</f>
        <v>405278</v>
      </c>
    </row>
    <row r="37" spans="1:13" ht="12.75">
      <c r="A37" s="228" t="s">
        <v>59</v>
      </c>
      <c r="B37" s="229"/>
      <c r="C37" s="229"/>
      <c r="D37" s="229"/>
      <c r="E37" s="229"/>
      <c r="F37" s="229"/>
      <c r="G37" s="229"/>
      <c r="H37" s="230"/>
      <c r="I37" s="1">
        <v>141</v>
      </c>
      <c r="J37" s="7">
        <v>626997.2</v>
      </c>
      <c r="K37" s="7">
        <f>+J37-308841</f>
        <v>318156.19999999995</v>
      </c>
      <c r="L37" s="7">
        <v>357751</v>
      </c>
      <c r="M37" s="7">
        <f>+L37-110052</f>
        <v>247699</v>
      </c>
    </row>
    <row r="38" spans="1:13" ht="12.75">
      <c r="A38" s="228" t="s">
        <v>184</v>
      </c>
      <c r="B38" s="229"/>
      <c r="C38" s="229"/>
      <c r="D38" s="229"/>
      <c r="E38" s="229"/>
      <c r="F38" s="229"/>
      <c r="G38" s="229"/>
      <c r="H38" s="230"/>
      <c r="I38" s="1">
        <v>142</v>
      </c>
      <c r="J38" s="7"/>
      <c r="K38" s="7"/>
      <c r="L38" s="7"/>
      <c r="M38" s="7"/>
    </row>
    <row r="39" spans="1:13" ht="12.75">
      <c r="A39" s="228" t="s">
        <v>185</v>
      </c>
      <c r="B39" s="229"/>
      <c r="C39" s="229"/>
      <c r="D39" s="229"/>
      <c r="E39" s="229"/>
      <c r="F39" s="229"/>
      <c r="G39" s="229"/>
      <c r="H39" s="230"/>
      <c r="I39" s="1">
        <v>143</v>
      </c>
      <c r="J39" s="7"/>
      <c r="K39" s="7"/>
      <c r="L39" s="7"/>
      <c r="M39" s="7"/>
    </row>
    <row r="40" spans="1:13" ht="12.75">
      <c r="A40" s="228" t="s">
        <v>214</v>
      </c>
      <c r="B40" s="229"/>
      <c r="C40" s="229"/>
      <c r="D40" s="229"/>
      <c r="E40" s="229"/>
      <c r="F40" s="229"/>
      <c r="G40" s="229"/>
      <c r="H40" s="230"/>
      <c r="I40" s="1">
        <v>144</v>
      </c>
      <c r="J40" s="7"/>
      <c r="K40" s="7"/>
      <c r="L40" s="7"/>
      <c r="M40" s="7"/>
    </row>
    <row r="41" spans="1:13" ht="12.75">
      <c r="A41" s="228" t="s">
        <v>215</v>
      </c>
      <c r="B41" s="229"/>
      <c r="C41" s="229"/>
      <c r="D41" s="229"/>
      <c r="E41" s="229"/>
      <c r="F41" s="229"/>
      <c r="G41" s="229"/>
      <c r="H41" s="230"/>
      <c r="I41" s="1">
        <v>145</v>
      </c>
      <c r="J41" s="7"/>
      <c r="K41" s="7"/>
      <c r="L41" s="7"/>
      <c r="M41" s="7"/>
    </row>
    <row r="42" spans="1:13" ht="12.75">
      <c r="A42" s="228" t="s">
        <v>204</v>
      </c>
      <c r="B42" s="229"/>
      <c r="C42" s="229"/>
      <c r="D42" s="229"/>
      <c r="E42" s="229"/>
      <c r="F42" s="229"/>
      <c r="G42" s="229"/>
      <c r="H42" s="230"/>
      <c r="I42" s="1">
        <v>146</v>
      </c>
      <c r="J42" s="44">
        <f>J7+J27+J38+J40</f>
        <v>320773414.03999996</v>
      </c>
      <c r="K42" s="44">
        <f>K7+K27+K38+K40</f>
        <v>300767548.03999996</v>
      </c>
      <c r="L42" s="44">
        <f>L7+L27+L38+L40</f>
        <v>372378656.2</v>
      </c>
      <c r="M42" s="44">
        <f>M7+M27+M38+M40</f>
        <v>343971351.2</v>
      </c>
    </row>
    <row r="43" spans="1:13" ht="12.75">
      <c r="A43" s="228" t="s">
        <v>205</v>
      </c>
      <c r="B43" s="229"/>
      <c r="C43" s="229"/>
      <c r="D43" s="229"/>
      <c r="E43" s="229"/>
      <c r="F43" s="229"/>
      <c r="G43" s="229"/>
      <c r="H43" s="230"/>
      <c r="I43" s="1">
        <v>147</v>
      </c>
      <c r="J43" s="44">
        <f>J10+J33+J39+J41</f>
        <v>452801005.11</v>
      </c>
      <c r="K43" s="44">
        <f>K10+K33+K39+K41</f>
        <v>299250097.11</v>
      </c>
      <c r="L43" s="44">
        <f>L10+L33+L39+L41</f>
        <v>481640970</v>
      </c>
      <c r="M43" s="44">
        <f>M10+M33+M39+M41</f>
        <v>303957669</v>
      </c>
    </row>
    <row r="44" spans="1:13" ht="12.75">
      <c r="A44" s="228" t="s">
        <v>223</v>
      </c>
      <c r="B44" s="229"/>
      <c r="C44" s="229"/>
      <c r="D44" s="229"/>
      <c r="E44" s="229"/>
      <c r="F44" s="229"/>
      <c r="G44" s="229"/>
      <c r="H44" s="230"/>
      <c r="I44" s="1">
        <v>148</v>
      </c>
      <c r="J44" s="44">
        <f>J42-J43</f>
        <v>-132027591.07000005</v>
      </c>
      <c r="K44" s="44">
        <f>K42-K43</f>
        <v>1517450.9299999475</v>
      </c>
      <c r="L44" s="44">
        <f>L42-L43</f>
        <v>-109262313.80000001</v>
      </c>
      <c r="M44" s="44">
        <f>M42-M43</f>
        <v>40013682.19999999</v>
      </c>
    </row>
    <row r="45" spans="1:13" ht="12.75">
      <c r="A45" s="236" t="s">
        <v>207</v>
      </c>
      <c r="B45" s="237"/>
      <c r="C45" s="237"/>
      <c r="D45" s="237"/>
      <c r="E45" s="237"/>
      <c r="F45" s="237"/>
      <c r="G45" s="237"/>
      <c r="H45" s="238"/>
      <c r="I45" s="1">
        <v>149</v>
      </c>
      <c r="J45" s="44">
        <f>IF(J42&gt;J43,J42-J43,0)</f>
        <v>0</v>
      </c>
      <c r="K45" s="44">
        <f>IF(K42&gt;K43,K42-K43,0)</f>
        <v>1517450.9299999475</v>
      </c>
      <c r="L45" s="44">
        <f>IF(L42&gt;L43,L42-L43,0)</f>
        <v>0</v>
      </c>
      <c r="M45" s="44">
        <f>IF(M42&gt;M43,M42-M43,0)</f>
        <v>40013682.19999999</v>
      </c>
    </row>
    <row r="46" spans="1:13" ht="12.75">
      <c r="A46" s="236" t="s">
        <v>208</v>
      </c>
      <c r="B46" s="237"/>
      <c r="C46" s="237"/>
      <c r="D46" s="237"/>
      <c r="E46" s="237"/>
      <c r="F46" s="237"/>
      <c r="G46" s="237"/>
      <c r="H46" s="238"/>
      <c r="I46" s="1">
        <v>150</v>
      </c>
      <c r="J46" s="44">
        <f>IF(J43&gt;J42,J43-J42,0)</f>
        <v>132027591.07000005</v>
      </c>
      <c r="K46" s="44">
        <f>IF(K43&gt;K42,K43-K42,0)</f>
        <v>0</v>
      </c>
      <c r="L46" s="44">
        <f>IF(L43&gt;L42,L43-L42,0)</f>
        <v>109262313.80000001</v>
      </c>
      <c r="M46" s="44">
        <f>IF(M43&gt;M42,M43-M42,0)</f>
        <v>0</v>
      </c>
    </row>
    <row r="47" spans="1:13" ht="12.75">
      <c r="A47" s="228" t="s">
        <v>206</v>
      </c>
      <c r="B47" s="229"/>
      <c r="C47" s="229"/>
      <c r="D47" s="229"/>
      <c r="E47" s="229"/>
      <c r="F47" s="229"/>
      <c r="G47" s="229"/>
      <c r="H47" s="230"/>
      <c r="I47" s="1">
        <v>151</v>
      </c>
      <c r="J47" s="7"/>
      <c r="K47" s="7"/>
      <c r="L47" s="7">
        <v>-637338</v>
      </c>
      <c r="M47" s="7">
        <v>0</v>
      </c>
    </row>
    <row r="48" spans="1:13" ht="12.75">
      <c r="A48" s="228" t="s">
        <v>224</v>
      </c>
      <c r="B48" s="229"/>
      <c r="C48" s="229"/>
      <c r="D48" s="229"/>
      <c r="E48" s="229"/>
      <c r="F48" s="229"/>
      <c r="G48" s="229"/>
      <c r="H48" s="230"/>
      <c r="I48" s="1">
        <v>152</v>
      </c>
      <c r="J48" s="44">
        <f>J44-J47</f>
        <v>-132027591.07000005</v>
      </c>
      <c r="K48" s="44">
        <f>K44-K47</f>
        <v>1517450.9299999475</v>
      </c>
      <c r="L48" s="44">
        <f>L44-L47</f>
        <v>-108624975.80000001</v>
      </c>
      <c r="M48" s="44">
        <f>M44-M47</f>
        <v>40013682.19999999</v>
      </c>
    </row>
    <row r="49" spans="1:13" ht="12.75">
      <c r="A49" s="236" t="s">
        <v>182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44">
        <f>IF(J48&gt;0,J48,0)</f>
        <v>0</v>
      </c>
      <c r="K49" s="44">
        <f>IF(K48&gt;0,K48,0)</f>
        <v>1517450.9299999475</v>
      </c>
      <c r="L49" s="44">
        <f>IF(L48&gt;0,L48,0)</f>
        <v>0</v>
      </c>
      <c r="M49" s="44">
        <f>IF(M48&gt;0,M48,0)</f>
        <v>40013682.19999999</v>
      </c>
    </row>
    <row r="50" spans="1:13" ht="12.75">
      <c r="A50" s="279" t="s">
        <v>209</v>
      </c>
      <c r="B50" s="280"/>
      <c r="C50" s="280"/>
      <c r="D50" s="280"/>
      <c r="E50" s="280"/>
      <c r="F50" s="280"/>
      <c r="G50" s="280"/>
      <c r="H50" s="281"/>
      <c r="I50" s="2">
        <v>154</v>
      </c>
      <c r="J50" s="52">
        <f>IF(J48&lt;0,-J48,0)</f>
        <v>132027591.07000005</v>
      </c>
      <c r="K50" s="52">
        <f>IF(K48&lt;0,-K48,0)</f>
        <v>0</v>
      </c>
      <c r="L50" s="52">
        <f>IF(L48&lt;0,-L48,0)</f>
        <v>108624975.80000001</v>
      </c>
      <c r="M50" s="52">
        <f>IF(M48&lt;0,-M48,0)</f>
        <v>0</v>
      </c>
    </row>
    <row r="51" spans="1:13" ht="12.75" customHeight="1">
      <c r="A51" s="217" t="s">
        <v>298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221" t="s">
        <v>177</v>
      </c>
      <c r="B52" s="222"/>
      <c r="C52" s="222"/>
      <c r="D52" s="222"/>
      <c r="E52" s="222"/>
      <c r="F52" s="222"/>
      <c r="G52" s="222"/>
      <c r="H52" s="222"/>
      <c r="I52" s="46"/>
      <c r="J52" s="46"/>
      <c r="K52" s="46"/>
      <c r="L52" s="46"/>
      <c r="M52" s="134"/>
    </row>
    <row r="53" spans="1:13" ht="12.75">
      <c r="A53" s="275" t="s">
        <v>221</v>
      </c>
      <c r="B53" s="276"/>
      <c r="C53" s="276"/>
      <c r="D53" s="276"/>
      <c r="E53" s="276"/>
      <c r="F53" s="276"/>
      <c r="G53" s="276"/>
      <c r="H53" s="277"/>
      <c r="I53" s="1">
        <v>155</v>
      </c>
      <c r="J53" s="7">
        <f>+J48</f>
        <v>-132027591.07000005</v>
      </c>
      <c r="K53" s="7">
        <f>+K48</f>
        <v>1517450.9299999475</v>
      </c>
      <c r="L53" s="7">
        <f>+L48-L54</f>
        <v>-108623871.80000001</v>
      </c>
      <c r="M53" s="7">
        <f>+M48-M54</f>
        <v>40008387.19999999</v>
      </c>
    </row>
    <row r="54" spans="1:13" ht="12.75">
      <c r="A54" s="275" t="s">
        <v>222</v>
      </c>
      <c r="B54" s="276"/>
      <c r="C54" s="276"/>
      <c r="D54" s="276"/>
      <c r="E54" s="276"/>
      <c r="F54" s="276"/>
      <c r="G54" s="276"/>
      <c r="H54" s="277"/>
      <c r="I54" s="1">
        <v>156</v>
      </c>
      <c r="J54" s="8"/>
      <c r="K54" s="8"/>
      <c r="L54" s="8">
        <v>-1104</v>
      </c>
      <c r="M54" s="8">
        <f>+L54+6399</f>
        <v>5295</v>
      </c>
    </row>
    <row r="55" spans="1:13" ht="12.75" customHeight="1">
      <c r="A55" s="217" t="s">
        <v>179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78"/>
    </row>
    <row r="56" spans="1:13" ht="12.75">
      <c r="A56" s="221" t="s">
        <v>193</v>
      </c>
      <c r="B56" s="222"/>
      <c r="C56" s="222"/>
      <c r="D56" s="222"/>
      <c r="E56" s="222"/>
      <c r="F56" s="222"/>
      <c r="G56" s="222"/>
      <c r="H56" s="239"/>
      <c r="I56" s="9">
        <v>157</v>
      </c>
      <c r="J56" s="6">
        <f>+J48</f>
        <v>-132027591.07000005</v>
      </c>
      <c r="K56" s="6">
        <f>+K48</f>
        <v>1517450.9299999475</v>
      </c>
      <c r="L56" s="6">
        <f>+L48</f>
        <v>-108624975.80000001</v>
      </c>
      <c r="M56" s="6">
        <f>+M48</f>
        <v>40013682.19999999</v>
      </c>
    </row>
    <row r="57" spans="1:13" ht="12.75">
      <c r="A57" s="228" t="s">
        <v>210</v>
      </c>
      <c r="B57" s="229"/>
      <c r="C57" s="229"/>
      <c r="D57" s="229"/>
      <c r="E57" s="229"/>
      <c r="F57" s="229"/>
      <c r="G57" s="229"/>
      <c r="H57" s="230"/>
      <c r="I57" s="1">
        <v>158</v>
      </c>
      <c r="J57" s="44">
        <f>SUM(J58:J64)</f>
        <v>-87000</v>
      </c>
      <c r="K57" s="44">
        <f>SUM(K58:K64)</f>
        <v>-87000</v>
      </c>
      <c r="L57" s="44">
        <f>SUM(L58:L64)</f>
        <v>6553117.74</v>
      </c>
      <c r="M57" s="44">
        <f>SUM(M58:M64)</f>
        <v>6553118</v>
      </c>
    </row>
    <row r="58" spans="1:13" ht="12.75">
      <c r="A58" s="228" t="s">
        <v>216</v>
      </c>
      <c r="B58" s="229"/>
      <c r="C58" s="229"/>
      <c r="D58" s="229"/>
      <c r="E58" s="229"/>
      <c r="F58" s="229"/>
      <c r="G58" s="229"/>
      <c r="H58" s="230"/>
      <c r="I58" s="1">
        <v>159</v>
      </c>
      <c r="J58" s="7"/>
      <c r="K58" s="7"/>
      <c r="L58" s="7"/>
      <c r="M58" s="7"/>
    </row>
    <row r="59" spans="1:13" ht="12.75">
      <c r="A59" s="266" t="s">
        <v>357</v>
      </c>
      <c r="B59" s="267"/>
      <c r="C59" s="267"/>
      <c r="D59" s="267"/>
      <c r="E59" s="267"/>
      <c r="F59" s="267"/>
      <c r="G59" s="267"/>
      <c r="H59" s="268"/>
      <c r="I59" s="1">
        <v>160</v>
      </c>
      <c r="J59" s="7"/>
      <c r="K59" s="7"/>
      <c r="L59" s="7"/>
      <c r="M59" s="7"/>
    </row>
    <row r="60" spans="1:13" ht="12.75">
      <c r="A60" s="266" t="s">
        <v>358</v>
      </c>
      <c r="B60" s="267"/>
      <c r="C60" s="267"/>
      <c r="D60" s="267"/>
      <c r="E60" s="267"/>
      <c r="F60" s="267"/>
      <c r="G60" s="267"/>
      <c r="H60" s="268"/>
      <c r="I60" s="1">
        <v>161</v>
      </c>
      <c r="J60" s="7">
        <v>-87000</v>
      </c>
      <c r="K60" s="7">
        <v>-87000</v>
      </c>
      <c r="L60" s="7">
        <f>2048321.91+4504795.83</f>
        <v>6553117.74</v>
      </c>
      <c r="M60" s="7">
        <v>6553118</v>
      </c>
    </row>
    <row r="61" spans="1:13" ht="12.75">
      <c r="A61" s="228" t="s">
        <v>217</v>
      </c>
      <c r="B61" s="229"/>
      <c r="C61" s="229"/>
      <c r="D61" s="229"/>
      <c r="E61" s="229"/>
      <c r="F61" s="229"/>
      <c r="G61" s="229"/>
      <c r="H61" s="230"/>
      <c r="I61" s="1">
        <v>162</v>
      </c>
      <c r="J61" s="7"/>
      <c r="K61" s="7"/>
      <c r="L61" s="7"/>
      <c r="M61" s="7"/>
    </row>
    <row r="62" spans="1:13" ht="12.75">
      <c r="A62" s="228" t="s">
        <v>218</v>
      </c>
      <c r="B62" s="229"/>
      <c r="C62" s="229"/>
      <c r="D62" s="229"/>
      <c r="E62" s="229"/>
      <c r="F62" s="229"/>
      <c r="G62" s="229"/>
      <c r="H62" s="230"/>
      <c r="I62" s="1">
        <v>163</v>
      </c>
      <c r="J62" s="7"/>
      <c r="K62" s="7"/>
      <c r="L62" s="7"/>
      <c r="M62" s="7"/>
    </row>
    <row r="63" spans="1:13" ht="12.75">
      <c r="A63" s="228" t="s">
        <v>219</v>
      </c>
      <c r="B63" s="229"/>
      <c r="C63" s="229"/>
      <c r="D63" s="229"/>
      <c r="E63" s="229"/>
      <c r="F63" s="229"/>
      <c r="G63" s="229"/>
      <c r="H63" s="230"/>
      <c r="I63" s="1">
        <v>164</v>
      </c>
      <c r="J63" s="7"/>
      <c r="K63" s="7"/>
      <c r="L63" s="7"/>
      <c r="M63" s="7"/>
    </row>
    <row r="64" spans="1:13" ht="12.75">
      <c r="A64" s="228" t="s">
        <v>220</v>
      </c>
      <c r="B64" s="229"/>
      <c r="C64" s="229"/>
      <c r="D64" s="229"/>
      <c r="E64" s="229"/>
      <c r="F64" s="229"/>
      <c r="G64" s="229"/>
      <c r="H64" s="230"/>
      <c r="I64" s="1">
        <v>165</v>
      </c>
      <c r="J64" s="7"/>
      <c r="K64" s="7"/>
      <c r="L64" s="7"/>
      <c r="M64" s="7"/>
    </row>
    <row r="65" spans="1:13" ht="12.75">
      <c r="A65" s="228" t="s">
        <v>211</v>
      </c>
      <c r="B65" s="229"/>
      <c r="C65" s="229"/>
      <c r="D65" s="229"/>
      <c r="E65" s="229"/>
      <c r="F65" s="229"/>
      <c r="G65" s="229"/>
      <c r="H65" s="230"/>
      <c r="I65" s="1">
        <v>166</v>
      </c>
      <c r="J65" s="7">
        <v>-17400</v>
      </c>
      <c r="K65" s="7">
        <v>-17400</v>
      </c>
      <c r="L65" s="7">
        <f>409664.38+900959.16</f>
        <v>1310623.54</v>
      </c>
      <c r="M65" s="7">
        <v>1310624</v>
      </c>
    </row>
    <row r="66" spans="1:13" ht="12.75">
      <c r="A66" s="266" t="s">
        <v>359</v>
      </c>
      <c r="B66" s="267"/>
      <c r="C66" s="267"/>
      <c r="D66" s="267"/>
      <c r="E66" s="267"/>
      <c r="F66" s="267"/>
      <c r="G66" s="267"/>
      <c r="H66" s="268"/>
      <c r="I66" s="1">
        <v>167</v>
      </c>
      <c r="J66" s="44">
        <f>J57-J65</f>
        <v>-69600</v>
      </c>
      <c r="K66" s="44">
        <f>K57-K65</f>
        <v>-69600</v>
      </c>
      <c r="L66" s="44">
        <f>L57-L65</f>
        <v>5242494.2</v>
      </c>
      <c r="M66" s="44">
        <f>M57-M65</f>
        <v>5242494</v>
      </c>
    </row>
    <row r="67" spans="1:13" ht="12.75">
      <c r="A67" s="228" t="s">
        <v>183</v>
      </c>
      <c r="B67" s="229"/>
      <c r="C67" s="229"/>
      <c r="D67" s="229"/>
      <c r="E67" s="229"/>
      <c r="F67" s="229"/>
      <c r="G67" s="229"/>
      <c r="H67" s="230"/>
      <c r="I67" s="1">
        <v>168</v>
      </c>
      <c r="J67" s="52">
        <f>J56+J66</f>
        <v>-132097191.07000005</v>
      </c>
      <c r="K67" s="52">
        <f>K56+K66</f>
        <v>1447850.9299999475</v>
      </c>
      <c r="L67" s="52">
        <f>L56+L66</f>
        <v>-103382481.60000001</v>
      </c>
      <c r="M67" s="52">
        <f>M56+M66</f>
        <v>45256176.19999999</v>
      </c>
    </row>
    <row r="68" spans="1:13" ht="12.75" customHeight="1">
      <c r="A68" s="269" t="s">
        <v>299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1"/>
    </row>
    <row r="69" spans="1:13" ht="12.75" customHeight="1">
      <c r="A69" s="272" t="s">
        <v>178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ht="12.75">
      <c r="A70" s="275" t="s">
        <v>221</v>
      </c>
      <c r="B70" s="276"/>
      <c r="C70" s="276"/>
      <c r="D70" s="276"/>
      <c r="E70" s="276"/>
      <c r="F70" s="276"/>
      <c r="G70" s="276"/>
      <c r="H70" s="277"/>
      <c r="I70" s="1">
        <v>169</v>
      </c>
      <c r="J70" s="7">
        <f>+J67</f>
        <v>-132097191.07000005</v>
      </c>
      <c r="K70" s="7">
        <f>+K67</f>
        <v>1447850.9299999475</v>
      </c>
      <c r="L70" s="7">
        <f>+L67-L71</f>
        <v>-103381377.60000001</v>
      </c>
      <c r="M70" s="7">
        <f>+M67-M71</f>
        <v>45250881.19999999</v>
      </c>
    </row>
    <row r="71" spans="1:13" ht="12.75">
      <c r="A71" s="263" t="s">
        <v>222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>
        <f>+L54</f>
        <v>-1104</v>
      </c>
      <c r="M71" s="8">
        <f>+M54</f>
        <v>5295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5905511811023623" header="0.5118110236220472" footer="0.5118110236220472"/>
  <pageSetup fitToHeight="0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19">
      <selection activeCell="O39" sqref="O39"/>
    </sheetView>
  </sheetViews>
  <sheetFormatPr defaultColWidth="9.140625" defaultRowHeight="12.75"/>
  <cols>
    <col min="1" max="9" width="9.140625" style="43" customWidth="1"/>
    <col min="10" max="10" width="10.57421875" style="43" customWidth="1"/>
    <col min="11" max="11" width="10.421875" style="43" bestFit="1" customWidth="1"/>
    <col min="12" max="12" width="11.28125" style="126" bestFit="1" customWidth="1"/>
    <col min="13" max="13" width="12.00390625" style="43" bestFit="1" customWidth="1"/>
    <col min="14" max="14" width="11.28125" style="43" bestFit="1" customWidth="1"/>
    <col min="15" max="16384" width="9.140625" style="43" customWidth="1"/>
  </cols>
  <sheetData>
    <row r="1" spans="1:11" ht="12.75" customHeight="1">
      <c r="A1" s="295" t="s">
        <v>155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352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 customHeight="1">
      <c r="A3" s="292" t="s">
        <v>344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>
      <c r="A4" s="297" t="s">
        <v>52</v>
      </c>
      <c r="B4" s="297"/>
      <c r="C4" s="297"/>
      <c r="D4" s="297"/>
      <c r="E4" s="297"/>
      <c r="F4" s="297"/>
      <c r="G4" s="297"/>
      <c r="H4" s="297"/>
      <c r="I4" s="56" t="s">
        <v>266</v>
      </c>
      <c r="J4" s="57" t="s">
        <v>304</v>
      </c>
      <c r="K4" s="57" t="s">
        <v>305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58">
        <v>2</v>
      </c>
      <c r="J5" s="59" t="s">
        <v>270</v>
      </c>
      <c r="K5" s="59" t="s">
        <v>271</v>
      </c>
    </row>
    <row r="6" spans="1:11" ht="12.75">
      <c r="A6" s="217" t="s">
        <v>147</v>
      </c>
      <c r="B6" s="218"/>
      <c r="C6" s="218"/>
      <c r="D6" s="218"/>
      <c r="E6" s="218"/>
      <c r="F6" s="218"/>
      <c r="G6" s="218"/>
      <c r="H6" s="218"/>
      <c r="I6" s="287"/>
      <c r="J6" s="287"/>
      <c r="K6" s="288"/>
    </row>
    <row r="7" spans="1:13" ht="12.75">
      <c r="A7" s="225" t="s">
        <v>34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-132027591</v>
      </c>
      <c r="K7" s="7">
        <v>-108623872</v>
      </c>
      <c r="L7" s="127">
        <f>+J7-RDG!J48</f>
        <v>0.0700000524520874</v>
      </c>
      <c r="M7" s="127">
        <f>+K7-RDG!L53</f>
        <v>-0.19999998807907104</v>
      </c>
    </row>
    <row r="8" spans="1:11" ht="12.75">
      <c r="A8" s="225" t="s">
        <v>35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116837491</v>
      </c>
      <c r="K8" s="7">
        <v>114797426</v>
      </c>
    </row>
    <row r="9" spans="1:11" ht="12.75">
      <c r="A9" s="225" t="s">
        <v>36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161557527</v>
      </c>
      <c r="K9" s="7">
        <v>229382350</v>
      </c>
    </row>
    <row r="10" spans="1:11" ht="12.75">
      <c r="A10" s="225" t="s">
        <v>37</v>
      </c>
      <c r="B10" s="226"/>
      <c r="C10" s="226"/>
      <c r="D10" s="226"/>
      <c r="E10" s="226"/>
      <c r="F10" s="226"/>
      <c r="G10" s="226"/>
      <c r="H10" s="226"/>
      <c r="I10" s="1">
        <v>4</v>
      </c>
      <c r="J10" s="7">
        <v>19226505</v>
      </c>
      <c r="K10" s="7"/>
    </row>
    <row r="11" spans="1:11" ht="12.75">
      <c r="A11" s="225" t="s">
        <v>38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692954</v>
      </c>
      <c r="K11" s="7"/>
    </row>
    <row r="12" spans="1:11" ht="12.75">
      <c r="A12" s="225" t="s">
        <v>44</v>
      </c>
      <c r="B12" s="226"/>
      <c r="C12" s="226"/>
      <c r="D12" s="226"/>
      <c r="E12" s="226"/>
      <c r="F12" s="226"/>
      <c r="G12" s="226"/>
      <c r="H12" s="226"/>
      <c r="I12" s="1">
        <v>6</v>
      </c>
      <c r="J12" s="7"/>
      <c r="K12" s="7">
        <v>52997</v>
      </c>
    </row>
    <row r="13" spans="1:11" ht="12.75">
      <c r="A13" s="228" t="s">
        <v>148</v>
      </c>
      <c r="B13" s="229"/>
      <c r="C13" s="229"/>
      <c r="D13" s="229"/>
      <c r="E13" s="229"/>
      <c r="F13" s="229"/>
      <c r="G13" s="229"/>
      <c r="H13" s="229"/>
      <c r="I13" s="1">
        <v>7</v>
      </c>
      <c r="J13" s="54">
        <f>SUM(J7:J12)</f>
        <v>166286886</v>
      </c>
      <c r="K13" s="44">
        <f>SUM(K7:K12)</f>
        <v>235608901</v>
      </c>
    </row>
    <row r="14" spans="1:11" ht="12.75">
      <c r="A14" s="225" t="s">
        <v>45</v>
      </c>
      <c r="B14" s="226"/>
      <c r="C14" s="226"/>
      <c r="D14" s="226"/>
      <c r="E14" s="226"/>
      <c r="F14" s="226"/>
      <c r="G14" s="226"/>
      <c r="H14" s="226"/>
      <c r="I14" s="1">
        <v>8</v>
      </c>
      <c r="J14" s="7"/>
      <c r="K14" s="7"/>
    </row>
    <row r="15" spans="1:11" ht="12.75">
      <c r="A15" s="225" t="s">
        <v>46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58168212</v>
      </c>
      <c r="K15" s="7">
        <v>51956990</v>
      </c>
    </row>
    <row r="16" spans="1:11" ht="12.75">
      <c r="A16" s="225" t="s">
        <v>47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3824299</v>
      </c>
      <c r="K16" s="7">
        <v>3521848</v>
      </c>
    </row>
    <row r="17" spans="1:11" ht="12.75">
      <c r="A17" s="225" t="s">
        <v>48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v>84787570</v>
      </c>
      <c r="K17" s="7">
        <v>64435302</v>
      </c>
    </row>
    <row r="18" spans="1:11" ht="12.75">
      <c r="A18" s="228" t="s">
        <v>149</v>
      </c>
      <c r="B18" s="229"/>
      <c r="C18" s="229"/>
      <c r="D18" s="229"/>
      <c r="E18" s="229"/>
      <c r="F18" s="229"/>
      <c r="G18" s="229"/>
      <c r="H18" s="229"/>
      <c r="I18" s="1">
        <v>12</v>
      </c>
      <c r="J18" s="54">
        <f>SUM(J14:J17)</f>
        <v>146780081</v>
      </c>
      <c r="K18" s="44">
        <f>SUM(K14:K17)</f>
        <v>119914140</v>
      </c>
    </row>
    <row r="19" spans="1:11" ht="12.75">
      <c r="A19" s="228" t="s">
        <v>360</v>
      </c>
      <c r="B19" s="229"/>
      <c r="C19" s="229"/>
      <c r="D19" s="229"/>
      <c r="E19" s="229"/>
      <c r="F19" s="229"/>
      <c r="G19" s="229"/>
      <c r="H19" s="230"/>
      <c r="I19" s="1">
        <v>13</v>
      </c>
      <c r="J19" s="54">
        <f>IF(J13&gt;J18,J13-J18,0)</f>
        <v>19506805</v>
      </c>
      <c r="K19" s="44">
        <f>IF(K13&gt;K18,K13-K18,0)</f>
        <v>115694761</v>
      </c>
    </row>
    <row r="20" spans="1:13" ht="12.75">
      <c r="A20" s="240" t="s">
        <v>361</v>
      </c>
      <c r="B20" s="241"/>
      <c r="C20" s="241"/>
      <c r="D20" s="241"/>
      <c r="E20" s="241"/>
      <c r="F20" s="241"/>
      <c r="G20" s="241"/>
      <c r="H20" s="242"/>
      <c r="I20" s="1">
        <v>14</v>
      </c>
      <c r="J20" s="54">
        <f>IF(J18&gt;J13,J18-J13,0)</f>
        <v>0</v>
      </c>
      <c r="K20" s="44">
        <f>IF(K18&gt;K13,K18-K13,0)</f>
        <v>0</v>
      </c>
      <c r="M20" s="122"/>
    </row>
    <row r="21" spans="1:11" ht="12.75">
      <c r="A21" s="217" t="s">
        <v>150</v>
      </c>
      <c r="B21" s="218"/>
      <c r="C21" s="218"/>
      <c r="D21" s="218"/>
      <c r="E21" s="218"/>
      <c r="F21" s="218"/>
      <c r="G21" s="218"/>
      <c r="H21" s="218"/>
      <c r="I21" s="287"/>
      <c r="J21" s="287"/>
      <c r="K21" s="288"/>
    </row>
    <row r="22" spans="1:11" ht="12.75">
      <c r="A22" s="225" t="s">
        <v>169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/>
      <c r="K22" s="7"/>
    </row>
    <row r="23" spans="1:11" ht="12.75">
      <c r="A23" s="225" t="s">
        <v>170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171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172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173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8" t="s">
        <v>159</v>
      </c>
      <c r="B27" s="229"/>
      <c r="C27" s="229"/>
      <c r="D27" s="229"/>
      <c r="E27" s="229"/>
      <c r="F27" s="229"/>
      <c r="G27" s="229"/>
      <c r="H27" s="229"/>
      <c r="I27" s="1">
        <v>20</v>
      </c>
      <c r="J27" s="54">
        <f>SUM(J22:J26)</f>
        <v>0</v>
      </c>
      <c r="K27" s="44">
        <f>SUM(K22:K26)</f>
        <v>0</v>
      </c>
    </row>
    <row r="28" spans="1:11" ht="12.75">
      <c r="A28" s="225" t="s">
        <v>107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252306544</v>
      </c>
      <c r="K28" s="7">
        <v>587227435</v>
      </c>
    </row>
    <row r="29" spans="1:11" ht="12.75">
      <c r="A29" s="225" t="s">
        <v>108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/>
      <c r="K30" s="7">
        <v>3980415</v>
      </c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54">
        <f>SUM(J28:J30)</f>
        <v>252306544</v>
      </c>
      <c r="K31" s="44">
        <f>SUM(K28:K30)</f>
        <v>591207850</v>
      </c>
    </row>
    <row r="32" spans="1:11" ht="12.75">
      <c r="A32" s="228" t="s">
        <v>362</v>
      </c>
      <c r="B32" s="229"/>
      <c r="C32" s="229"/>
      <c r="D32" s="229"/>
      <c r="E32" s="229"/>
      <c r="F32" s="229"/>
      <c r="G32" s="229"/>
      <c r="H32" s="229"/>
      <c r="I32" s="1">
        <v>25</v>
      </c>
      <c r="J32" s="54">
        <f>IF(J27&gt;J31,J27-J31,0)</f>
        <v>0</v>
      </c>
      <c r="K32" s="44">
        <f>IF(K27&gt;K31,K27-K31,0)</f>
        <v>0</v>
      </c>
    </row>
    <row r="33" spans="1:14" ht="12.75">
      <c r="A33" s="228" t="s">
        <v>363</v>
      </c>
      <c r="B33" s="229"/>
      <c r="C33" s="229"/>
      <c r="D33" s="229"/>
      <c r="E33" s="229"/>
      <c r="F33" s="229"/>
      <c r="G33" s="229"/>
      <c r="H33" s="229"/>
      <c r="I33" s="1">
        <v>26</v>
      </c>
      <c r="J33" s="54">
        <f>IF(J31&gt;J27,J31-J27,0)</f>
        <v>252306544</v>
      </c>
      <c r="K33" s="44">
        <f>IF(K31&gt;K27,K31-K27,0)</f>
        <v>591207850</v>
      </c>
      <c r="M33" s="122"/>
      <c r="N33" s="122"/>
    </row>
    <row r="34" spans="1:11" ht="12.75">
      <c r="A34" s="217" t="s">
        <v>151</v>
      </c>
      <c r="B34" s="218"/>
      <c r="C34" s="218"/>
      <c r="D34" s="218"/>
      <c r="E34" s="218"/>
      <c r="F34" s="218"/>
      <c r="G34" s="218"/>
      <c r="H34" s="218"/>
      <c r="I34" s="287"/>
      <c r="J34" s="287"/>
      <c r="K34" s="288"/>
    </row>
    <row r="35" spans="1:11" ht="12.75">
      <c r="A35" s="289" t="s">
        <v>165</v>
      </c>
      <c r="B35" s="290"/>
      <c r="C35" s="290"/>
      <c r="D35" s="290"/>
      <c r="E35" s="290"/>
      <c r="F35" s="290"/>
      <c r="G35" s="290"/>
      <c r="H35" s="290"/>
      <c r="I35" s="9">
        <v>27</v>
      </c>
      <c r="J35" s="6"/>
      <c r="K35" s="6">
        <v>9284451</v>
      </c>
    </row>
    <row r="36" spans="1:11" ht="12.75">
      <c r="A36" s="225" t="s">
        <v>27</v>
      </c>
      <c r="B36" s="226"/>
      <c r="C36" s="226"/>
      <c r="D36" s="226"/>
      <c r="E36" s="226"/>
      <c r="F36" s="226"/>
      <c r="G36" s="226"/>
      <c r="H36" s="226"/>
      <c r="I36" s="1">
        <v>28</v>
      </c>
      <c r="J36" s="7">
        <v>161897886</v>
      </c>
      <c r="K36" s="7">
        <v>423887474</v>
      </c>
    </row>
    <row r="37" spans="1:11" ht="12.75">
      <c r="A37" s="225" t="s">
        <v>28</v>
      </c>
      <c r="B37" s="226"/>
      <c r="C37" s="226"/>
      <c r="D37" s="226"/>
      <c r="E37" s="226"/>
      <c r="F37" s="226"/>
      <c r="G37" s="226"/>
      <c r="H37" s="226"/>
      <c r="I37" s="1">
        <v>29</v>
      </c>
      <c r="J37" s="7">
        <v>301401</v>
      </c>
      <c r="K37" s="7">
        <v>1310623</v>
      </c>
    </row>
    <row r="38" spans="1:11" ht="12.75">
      <c r="A38" s="228" t="s">
        <v>60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4">
        <f>SUM(J35:J37)</f>
        <v>162199287</v>
      </c>
      <c r="K38" s="44">
        <f>SUM(K35:K37)</f>
        <v>434482548</v>
      </c>
    </row>
    <row r="39" spans="1:11" ht="12.75">
      <c r="A39" s="225" t="s">
        <v>29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55286489</v>
      </c>
      <c r="K39" s="7"/>
    </row>
    <row r="40" spans="1:11" ht="12.75">
      <c r="A40" s="225" t="s">
        <v>30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/>
      <c r="K40" s="7"/>
    </row>
    <row r="41" spans="1:11" ht="12.75">
      <c r="A41" s="225" t="s">
        <v>31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/>
      <c r="K41" s="7"/>
    </row>
    <row r="42" spans="1:11" ht="12.75">
      <c r="A42" s="225" t="s">
        <v>32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1558334</v>
      </c>
      <c r="K42" s="7">
        <v>4462755</v>
      </c>
    </row>
    <row r="43" spans="1:11" ht="12.75">
      <c r="A43" s="225" t="s">
        <v>33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77080782</v>
      </c>
      <c r="K43" s="7"/>
    </row>
    <row r="44" spans="1:11" ht="12.75">
      <c r="A44" s="228" t="s">
        <v>61</v>
      </c>
      <c r="B44" s="229"/>
      <c r="C44" s="229"/>
      <c r="D44" s="229"/>
      <c r="E44" s="229"/>
      <c r="F44" s="229"/>
      <c r="G44" s="229"/>
      <c r="H44" s="229"/>
      <c r="I44" s="1">
        <v>36</v>
      </c>
      <c r="J44" s="54">
        <f>SUM(J39:J43)</f>
        <v>133925605</v>
      </c>
      <c r="K44" s="44">
        <f>SUM(K39:K43)</f>
        <v>4462755</v>
      </c>
    </row>
    <row r="45" spans="1:13" ht="12.75" customHeight="1">
      <c r="A45" s="228" t="s">
        <v>364</v>
      </c>
      <c r="B45" s="229"/>
      <c r="C45" s="229"/>
      <c r="D45" s="229"/>
      <c r="E45" s="229"/>
      <c r="F45" s="229"/>
      <c r="G45" s="229"/>
      <c r="H45" s="230"/>
      <c r="I45" s="1">
        <v>37</v>
      </c>
      <c r="J45" s="54">
        <f>IF(J38&gt;J44,J38-J44,0)</f>
        <v>28273682</v>
      </c>
      <c r="K45" s="44">
        <f>IF(K38&gt;K44,K38-K44,0)</f>
        <v>430019793</v>
      </c>
      <c r="M45" s="122"/>
    </row>
    <row r="46" spans="1:11" ht="12.75" customHeight="1">
      <c r="A46" s="228" t="s">
        <v>365</v>
      </c>
      <c r="B46" s="229"/>
      <c r="C46" s="229"/>
      <c r="D46" s="229"/>
      <c r="E46" s="229"/>
      <c r="F46" s="229"/>
      <c r="G46" s="229"/>
      <c r="H46" s="230"/>
      <c r="I46" s="1">
        <v>38</v>
      </c>
      <c r="J46" s="54">
        <f>IF(J44&gt;J38,J44-J38,0)</f>
        <v>0</v>
      </c>
      <c r="K46" s="44">
        <f>IF(K44&gt;K38,K44-K38,0)</f>
        <v>0</v>
      </c>
    </row>
    <row r="47" spans="1:13" ht="12.75">
      <c r="A47" s="225" t="s">
        <v>62</v>
      </c>
      <c r="B47" s="226"/>
      <c r="C47" s="226"/>
      <c r="D47" s="226"/>
      <c r="E47" s="226"/>
      <c r="F47" s="226"/>
      <c r="G47" s="226"/>
      <c r="H47" s="226"/>
      <c r="I47" s="1">
        <v>39</v>
      </c>
      <c r="J47" s="54">
        <f>+J19+J32+J45</f>
        <v>47780487</v>
      </c>
      <c r="K47" s="44">
        <f>IF(K19-K20+K32-K33+K45-K46&gt;0,K19-K20+K32-K33+K45-K46,0)</f>
        <v>0</v>
      </c>
      <c r="M47" s="122"/>
    </row>
    <row r="48" spans="1:11" ht="12.75">
      <c r="A48" s="225" t="s">
        <v>63</v>
      </c>
      <c r="B48" s="226"/>
      <c r="C48" s="226"/>
      <c r="D48" s="226"/>
      <c r="E48" s="226"/>
      <c r="F48" s="226"/>
      <c r="G48" s="226"/>
      <c r="H48" s="226"/>
      <c r="I48" s="1">
        <v>40</v>
      </c>
      <c r="J48" s="54">
        <f>+J20+J33+J46</f>
        <v>252306544</v>
      </c>
      <c r="K48" s="44">
        <f>IF(K20-K19+K33-K32+K46-K45&gt;0,K20-K19+K33-K32+K46-K45,0)</f>
        <v>45493296</v>
      </c>
    </row>
    <row r="49" spans="1:12" ht="12.75">
      <c r="A49" s="225" t="s">
        <v>152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223105134</v>
      </c>
      <c r="K49" s="7">
        <v>195201504</v>
      </c>
      <c r="L49" s="127">
        <f>+K49-Bilanca!J64</f>
        <v>0</v>
      </c>
    </row>
    <row r="50" spans="1:13" ht="12.75">
      <c r="A50" s="225" t="s">
        <v>166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/>
      <c r="K50" s="7"/>
      <c r="M50" s="122"/>
    </row>
    <row r="51" spans="1:13" ht="12.75">
      <c r="A51" s="225" t="s">
        <v>167</v>
      </c>
      <c r="B51" s="226"/>
      <c r="C51" s="226"/>
      <c r="D51" s="226"/>
      <c r="E51" s="226"/>
      <c r="F51" s="226"/>
      <c r="G51" s="226"/>
      <c r="H51" s="226"/>
      <c r="I51" s="1">
        <v>43</v>
      </c>
      <c r="J51" s="7">
        <f>+J48-J47</f>
        <v>204526057</v>
      </c>
      <c r="K51" s="7">
        <f>+K48-K47</f>
        <v>45493296</v>
      </c>
      <c r="M51" s="122"/>
    </row>
    <row r="52" spans="1:13" ht="12.75">
      <c r="A52" s="231" t="s">
        <v>168</v>
      </c>
      <c r="B52" s="232"/>
      <c r="C52" s="232"/>
      <c r="D52" s="232"/>
      <c r="E52" s="232"/>
      <c r="F52" s="232"/>
      <c r="G52" s="232"/>
      <c r="H52" s="232"/>
      <c r="I52" s="4">
        <v>44</v>
      </c>
      <c r="J52" s="55">
        <f>J49+J50-J51</f>
        <v>18579077</v>
      </c>
      <c r="K52" s="52">
        <f>K49+K50-K51</f>
        <v>149708208</v>
      </c>
      <c r="L52" s="127">
        <f>+K52-Bilanca!K64</f>
        <v>0</v>
      </c>
      <c r="M52" s="12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295" t="s">
        <v>186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304" t="s">
        <v>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3" t="s">
        <v>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33.75">
      <c r="A4" s="297" t="s">
        <v>52</v>
      </c>
      <c r="B4" s="297"/>
      <c r="C4" s="297"/>
      <c r="D4" s="297"/>
      <c r="E4" s="297"/>
      <c r="F4" s="297"/>
      <c r="G4" s="297"/>
      <c r="H4" s="297"/>
      <c r="I4" s="56" t="s">
        <v>266</v>
      </c>
      <c r="J4" s="57" t="s">
        <v>304</v>
      </c>
      <c r="K4" s="57" t="s">
        <v>305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62">
        <v>2</v>
      </c>
      <c r="J5" s="63" t="s">
        <v>270</v>
      </c>
      <c r="K5" s="63" t="s">
        <v>271</v>
      </c>
    </row>
    <row r="6" spans="1:11" ht="12.75">
      <c r="A6" s="217" t="s">
        <v>147</v>
      </c>
      <c r="B6" s="218"/>
      <c r="C6" s="218"/>
      <c r="D6" s="218"/>
      <c r="E6" s="218"/>
      <c r="F6" s="218"/>
      <c r="G6" s="218"/>
      <c r="H6" s="218"/>
      <c r="I6" s="287"/>
      <c r="J6" s="287"/>
      <c r="K6" s="288"/>
    </row>
    <row r="7" spans="1:11" ht="12.75">
      <c r="A7" s="225" t="s">
        <v>188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111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112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113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114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8" t="s">
        <v>187</v>
      </c>
      <c r="B12" s="229"/>
      <c r="C12" s="229"/>
      <c r="D12" s="229"/>
      <c r="E12" s="229"/>
      <c r="F12" s="229"/>
      <c r="G12" s="229"/>
      <c r="H12" s="229"/>
      <c r="I12" s="1">
        <v>6</v>
      </c>
      <c r="J12" s="54">
        <f>SUM(J7:J11)</f>
        <v>0</v>
      </c>
      <c r="K12" s="44">
        <f>SUM(K7:K11)</f>
        <v>0</v>
      </c>
    </row>
    <row r="13" spans="1:11" ht="12.75">
      <c r="A13" s="225" t="s">
        <v>115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116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117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118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119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120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8" t="s">
        <v>40</v>
      </c>
      <c r="B19" s="229"/>
      <c r="C19" s="229"/>
      <c r="D19" s="229"/>
      <c r="E19" s="229"/>
      <c r="F19" s="229"/>
      <c r="G19" s="229"/>
      <c r="H19" s="229"/>
      <c r="I19" s="1">
        <v>13</v>
      </c>
      <c r="J19" s="54">
        <f>SUM(J13:J18)</f>
        <v>0</v>
      </c>
      <c r="K19" s="44">
        <f>SUM(K13:K18)</f>
        <v>0</v>
      </c>
    </row>
    <row r="20" spans="1:11" ht="12.75">
      <c r="A20" s="228" t="s">
        <v>100</v>
      </c>
      <c r="B20" s="300"/>
      <c r="C20" s="300"/>
      <c r="D20" s="300"/>
      <c r="E20" s="300"/>
      <c r="F20" s="300"/>
      <c r="G20" s="300"/>
      <c r="H20" s="301"/>
      <c r="I20" s="1">
        <v>14</v>
      </c>
      <c r="J20" s="54">
        <f>IF(J12&gt;J19,J12-J19,0)</f>
        <v>0</v>
      </c>
      <c r="K20" s="44">
        <f>IF(K12&gt;K19,K12-K19,0)</f>
        <v>0</v>
      </c>
    </row>
    <row r="21" spans="1:11" ht="12.75">
      <c r="A21" s="240" t="s">
        <v>101</v>
      </c>
      <c r="B21" s="298"/>
      <c r="C21" s="298"/>
      <c r="D21" s="298"/>
      <c r="E21" s="298"/>
      <c r="F21" s="298"/>
      <c r="G21" s="298"/>
      <c r="H21" s="299"/>
      <c r="I21" s="1">
        <v>15</v>
      </c>
      <c r="J21" s="54">
        <f>IF(J19&gt;J12,J19-J12,0)</f>
        <v>0</v>
      </c>
      <c r="K21" s="44">
        <f>IF(K19&gt;K12,K19-K12,0)</f>
        <v>0</v>
      </c>
    </row>
    <row r="22" spans="1:11" ht="12.75">
      <c r="A22" s="217" t="s">
        <v>150</v>
      </c>
      <c r="B22" s="218"/>
      <c r="C22" s="218"/>
      <c r="D22" s="218"/>
      <c r="E22" s="218"/>
      <c r="F22" s="218"/>
      <c r="G22" s="218"/>
      <c r="H22" s="218"/>
      <c r="I22" s="287"/>
      <c r="J22" s="287"/>
      <c r="K22" s="288"/>
    </row>
    <row r="23" spans="1:11" ht="12.75">
      <c r="A23" s="225" t="s">
        <v>156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157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306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307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158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8" t="s">
        <v>106</v>
      </c>
      <c r="B28" s="229"/>
      <c r="C28" s="229"/>
      <c r="D28" s="229"/>
      <c r="E28" s="229"/>
      <c r="F28" s="229"/>
      <c r="G28" s="229"/>
      <c r="H28" s="229"/>
      <c r="I28" s="1">
        <v>21</v>
      </c>
      <c r="J28" s="54">
        <f>SUM(J23:J27)</f>
        <v>0</v>
      </c>
      <c r="K28" s="44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8" t="s">
        <v>41</v>
      </c>
      <c r="B32" s="229"/>
      <c r="C32" s="229"/>
      <c r="D32" s="229"/>
      <c r="E32" s="229"/>
      <c r="F32" s="229"/>
      <c r="G32" s="229"/>
      <c r="H32" s="229"/>
      <c r="I32" s="1">
        <v>25</v>
      </c>
      <c r="J32" s="54">
        <f>SUM(J29:J31)</f>
        <v>0</v>
      </c>
      <c r="K32" s="44">
        <f>SUM(K29:K31)</f>
        <v>0</v>
      </c>
    </row>
    <row r="33" spans="1:11" ht="12.75">
      <c r="A33" s="228" t="s">
        <v>102</v>
      </c>
      <c r="B33" s="229"/>
      <c r="C33" s="229"/>
      <c r="D33" s="229"/>
      <c r="E33" s="229"/>
      <c r="F33" s="229"/>
      <c r="G33" s="229"/>
      <c r="H33" s="229"/>
      <c r="I33" s="1">
        <v>26</v>
      </c>
      <c r="J33" s="54">
        <f>IF(J28&gt;J32,J28-J32,0)</f>
        <v>0</v>
      </c>
      <c r="K33" s="44">
        <f>IF(K28&gt;K32,K28-K32,0)</f>
        <v>0</v>
      </c>
    </row>
    <row r="34" spans="1:11" ht="12.75">
      <c r="A34" s="228" t="s">
        <v>103</v>
      </c>
      <c r="B34" s="229"/>
      <c r="C34" s="229"/>
      <c r="D34" s="229"/>
      <c r="E34" s="229"/>
      <c r="F34" s="229"/>
      <c r="G34" s="229"/>
      <c r="H34" s="229"/>
      <c r="I34" s="1">
        <v>27</v>
      </c>
      <c r="J34" s="54">
        <f>IF(J32&gt;J28,J32-J28,0)</f>
        <v>0</v>
      </c>
      <c r="K34" s="44">
        <f>IF(K32&gt;K28,K32-K28,0)</f>
        <v>0</v>
      </c>
    </row>
    <row r="35" spans="1:11" ht="12.75">
      <c r="A35" s="217" t="s">
        <v>151</v>
      </c>
      <c r="B35" s="218"/>
      <c r="C35" s="218"/>
      <c r="D35" s="218"/>
      <c r="E35" s="218"/>
      <c r="F35" s="218"/>
      <c r="G35" s="218"/>
      <c r="H35" s="218"/>
      <c r="I35" s="287">
        <v>0</v>
      </c>
      <c r="J35" s="287"/>
      <c r="K35" s="288"/>
    </row>
    <row r="36" spans="1:11" ht="12.75">
      <c r="A36" s="225" t="s">
        <v>165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27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28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8" t="s">
        <v>42</v>
      </c>
      <c r="B39" s="229"/>
      <c r="C39" s="229"/>
      <c r="D39" s="229"/>
      <c r="E39" s="229"/>
      <c r="F39" s="229"/>
      <c r="G39" s="229"/>
      <c r="H39" s="229"/>
      <c r="I39" s="1">
        <v>31</v>
      </c>
      <c r="J39" s="54">
        <f>SUM(J36:J38)</f>
        <v>0</v>
      </c>
      <c r="K39" s="44">
        <f>SUM(K36:K38)</f>
        <v>0</v>
      </c>
    </row>
    <row r="40" spans="1:11" ht="12.75">
      <c r="A40" s="225" t="s">
        <v>29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30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31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32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33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8" t="s">
        <v>140</v>
      </c>
      <c r="B45" s="229"/>
      <c r="C45" s="229"/>
      <c r="D45" s="229"/>
      <c r="E45" s="229"/>
      <c r="F45" s="229"/>
      <c r="G45" s="229"/>
      <c r="H45" s="229"/>
      <c r="I45" s="1">
        <v>37</v>
      </c>
      <c r="J45" s="54">
        <f>SUM(J40:J44)</f>
        <v>0</v>
      </c>
      <c r="K45" s="44">
        <f>SUM(K40:K44)</f>
        <v>0</v>
      </c>
    </row>
    <row r="46" spans="1:11" ht="12.75">
      <c r="A46" s="228" t="s">
        <v>153</v>
      </c>
      <c r="B46" s="229"/>
      <c r="C46" s="229"/>
      <c r="D46" s="229"/>
      <c r="E46" s="229"/>
      <c r="F46" s="229"/>
      <c r="G46" s="229"/>
      <c r="H46" s="229"/>
      <c r="I46" s="1">
        <v>38</v>
      </c>
      <c r="J46" s="54">
        <f>IF(J39&gt;J45,J39-J45,0)</f>
        <v>0</v>
      </c>
      <c r="K46" s="44">
        <f>IF(K39&gt;K45,K39-K45,0)</f>
        <v>0</v>
      </c>
    </row>
    <row r="47" spans="1:11" ht="12.75">
      <c r="A47" s="228" t="s">
        <v>154</v>
      </c>
      <c r="B47" s="229"/>
      <c r="C47" s="229"/>
      <c r="D47" s="229"/>
      <c r="E47" s="229"/>
      <c r="F47" s="229"/>
      <c r="G47" s="229"/>
      <c r="H47" s="229"/>
      <c r="I47" s="1">
        <v>39</v>
      </c>
      <c r="J47" s="54">
        <f>IF(J45&gt;J39,J45-J39,0)</f>
        <v>0</v>
      </c>
      <c r="K47" s="44">
        <f>IF(K45&gt;K39,K45-K39,0)</f>
        <v>0</v>
      </c>
    </row>
    <row r="48" spans="1:11" ht="12.75">
      <c r="A48" s="228" t="s">
        <v>141</v>
      </c>
      <c r="B48" s="229"/>
      <c r="C48" s="229"/>
      <c r="D48" s="229"/>
      <c r="E48" s="229"/>
      <c r="F48" s="229"/>
      <c r="G48" s="229"/>
      <c r="H48" s="229"/>
      <c r="I48" s="1">
        <v>40</v>
      </c>
      <c r="J48" s="54">
        <f>IF(J20-J21+J33-J34+J46-J47&gt;0,J20-J21+J33-J34+J46-J47,0)</f>
        <v>0</v>
      </c>
      <c r="K48" s="44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54">
        <f>IF(J21-J20+J34-J33+J47-J46&gt;0,J21-J20+J34-J33+J47-J46,0)</f>
        <v>0</v>
      </c>
      <c r="K49" s="44">
        <f>IF(K21-K20+K34-K33+K47-K46&gt;0,K21-K20+K34-K33+K47-K46,0)</f>
        <v>0</v>
      </c>
    </row>
    <row r="50" spans="1:11" ht="12.75">
      <c r="A50" s="228" t="s">
        <v>152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/>
      <c r="K50" s="7"/>
    </row>
    <row r="51" spans="1:11" ht="12.75">
      <c r="A51" s="228" t="s">
        <v>166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28" t="s">
        <v>167</v>
      </c>
      <c r="B52" s="229"/>
      <c r="C52" s="229"/>
      <c r="D52" s="229"/>
      <c r="E52" s="229"/>
      <c r="F52" s="229"/>
      <c r="G52" s="229"/>
      <c r="H52" s="229"/>
      <c r="I52" s="1">
        <v>44</v>
      </c>
      <c r="J52" s="5"/>
      <c r="K52" s="7"/>
    </row>
    <row r="53" spans="1:11" ht="12.75">
      <c r="A53" s="240" t="s">
        <v>168</v>
      </c>
      <c r="B53" s="241"/>
      <c r="C53" s="241"/>
      <c r="D53" s="241"/>
      <c r="E53" s="241"/>
      <c r="F53" s="241"/>
      <c r="G53" s="241"/>
      <c r="H53" s="241"/>
      <c r="I53" s="4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0" width="10.57421875" style="66" customWidth="1"/>
    <col min="11" max="11" width="10.8515625" style="66" bestFit="1" customWidth="1"/>
    <col min="12" max="16384" width="9.140625" style="66" customWidth="1"/>
  </cols>
  <sheetData>
    <row r="1" spans="1:12" ht="12.75">
      <c r="A1" s="320" t="s">
        <v>268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65"/>
    </row>
    <row r="2" spans="1:12" ht="15.75">
      <c r="A2" s="35"/>
      <c r="B2" s="64"/>
      <c r="C2" s="305" t="s">
        <v>269</v>
      </c>
      <c r="D2" s="305"/>
      <c r="E2" s="67" t="s">
        <v>345</v>
      </c>
      <c r="F2" s="36" t="s">
        <v>237</v>
      </c>
      <c r="G2" s="306" t="s">
        <v>353</v>
      </c>
      <c r="H2" s="307"/>
      <c r="I2" s="64"/>
      <c r="J2" s="64"/>
      <c r="K2" s="64"/>
      <c r="L2" s="68"/>
    </row>
    <row r="3" spans="1:11" ht="23.25">
      <c r="A3" s="308" t="s">
        <v>52</v>
      </c>
      <c r="B3" s="308"/>
      <c r="C3" s="308"/>
      <c r="D3" s="308"/>
      <c r="E3" s="308"/>
      <c r="F3" s="308"/>
      <c r="G3" s="308"/>
      <c r="H3" s="308"/>
      <c r="I3" s="71" t="s">
        <v>292</v>
      </c>
      <c r="J3" s="72" t="s">
        <v>142</v>
      </c>
      <c r="K3" s="72" t="s">
        <v>143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74">
        <v>2</v>
      </c>
      <c r="J4" s="73" t="s">
        <v>270</v>
      </c>
      <c r="K4" s="73" t="s">
        <v>271</v>
      </c>
    </row>
    <row r="5" spans="1:11" ht="12.75">
      <c r="A5" s="310" t="s">
        <v>272</v>
      </c>
      <c r="B5" s="311"/>
      <c r="C5" s="311"/>
      <c r="D5" s="311"/>
      <c r="E5" s="311"/>
      <c r="F5" s="311"/>
      <c r="G5" s="311"/>
      <c r="H5" s="311"/>
      <c r="I5" s="37">
        <v>1</v>
      </c>
      <c r="J5" s="6">
        <v>1672021210</v>
      </c>
      <c r="K5" s="121">
        <v>1672021210</v>
      </c>
    </row>
    <row r="6" spans="1:11" ht="12.75">
      <c r="A6" s="310" t="s">
        <v>273</v>
      </c>
      <c r="B6" s="311"/>
      <c r="C6" s="311"/>
      <c r="D6" s="311"/>
      <c r="E6" s="311"/>
      <c r="F6" s="311"/>
      <c r="G6" s="311"/>
      <c r="H6" s="311"/>
      <c r="I6" s="37">
        <v>2</v>
      </c>
      <c r="J6" s="7">
        <v>-18596391</v>
      </c>
      <c r="K6" s="38">
        <f>+Bilanca!K71</f>
        <v>39505</v>
      </c>
    </row>
    <row r="7" spans="1:11" ht="12.75">
      <c r="A7" s="310" t="s">
        <v>274</v>
      </c>
      <c r="B7" s="311"/>
      <c r="C7" s="311"/>
      <c r="D7" s="311"/>
      <c r="E7" s="311"/>
      <c r="F7" s="311"/>
      <c r="G7" s="311"/>
      <c r="H7" s="311"/>
      <c r="I7" s="37">
        <v>3</v>
      </c>
      <c r="J7" s="7">
        <v>94257647</v>
      </c>
      <c r="K7" s="38">
        <f>+Bilanca!K72</f>
        <v>68445427</v>
      </c>
    </row>
    <row r="8" spans="1:11" ht="12.75">
      <c r="A8" s="310" t="s">
        <v>275</v>
      </c>
      <c r="B8" s="311"/>
      <c r="C8" s="311"/>
      <c r="D8" s="311"/>
      <c r="E8" s="311"/>
      <c r="F8" s="311"/>
      <c r="G8" s="311"/>
      <c r="H8" s="311"/>
      <c r="I8" s="37">
        <v>4</v>
      </c>
      <c r="J8" s="7">
        <v>55168035</v>
      </c>
      <c r="K8" s="38">
        <f>+Bilanca!K79</f>
        <v>39959499</v>
      </c>
    </row>
    <row r="9" spans="1:11" ht="12.75">
      <c r="A9" s="310" t="s">
        <v>276</v>
      </c>
      <c r="B9" s="311"/>
      <c r="C9" s="311"/>
      <c r="D9" s="311"/>
      <c r="E9" s="311"/>
      <c r="F9" s="311"/>
      <c r="G9" s="311"/>
      <c r="H9" s="311"/>
      <c r="I9" s="37">
        <v>5</v>
      </c>
      <c r="J9" s="7">
        <v>51381272</v>
      </c>
      <c r="K9" s="38">
        <f>+Bilanca!K82</f>
        <v>-108623872</v>
      </c>
    </row>
    <row r="10" spans="1:11" ht="12.75">
      <c r="A10" s="310" t="s">
        <v>277</v>
      </c>
      <c r="B10" s="311"/>
      <c r="C10" s="311"/>
      <c r="D10" s="311"/>
      <c r="E10" s="311"/>
      <c r="F10" s="311"/>
      <c r="G10" s="311"/>
      <c r="H10" s="311"/>
      <c r="I10" s="37">
        <v>6</v>
      </c>
      <c r="J10" s="7"/>
      <c r="K10" s="38"/>
    </row>
    <row r="11" spans="1:11" ht="12.75">
      <c r="A11" s="310" t="s">
        <v>278</v>
      </c>
      <c r="B11" s="311"/>
      <c r="C11" s="311"/>
      <c r="D11" s="311"/>
      <c r="E11" s="311"/>
      <c r="F11" s="311"/>
      <c r="G11" s="311"/>
      <c r="H11" s="311"/>
      <c r="I11" s="37">
        <v>7</v>
      </c>
      <c r="J11" s="7"/>
      <c r="K11" s="38"/>
    </row>
    <row r="12" spans="1:11" ht="12.75">
      <c r="A12" s="310" t="s">
        <v>279</v>
      </c>
      <c r="B12" s="311"/>
      <c r="C12" s="311"/>
      <c r="D12" s="311"/>
      <c r="E12" s="311"/>
      <c r="F12" s="311"/>
      <c r="G12" s="311"/>
      <c r="H12" s="311"/>
      <c r="I12" s="37">
        <v>8</v>
      </c>
      <c r="J12" s="7">
        <v>29413744</v>
      </c>
      <c r="K12" s="38">
        <f>+Bilanca!K78</f>
        <v>31084291</v>
      </c>
    </row>
    <row r="13" spans="1:11" ht="12.75">
      <c r="A13" s="310" t="s">
        <v>280</v>
      </c>
      <c r="B13" s="311"/>
      <c r="C13" s="311"/>
      <c r="D13" s="311"/>
      <c r="E13" s="311"/>
      <c r="F13" s="311"/>
      <c r="G13" s="311"/>
      <c r="H13" s="311"/>
      <c r="I13" s="37">
        <v>9</v>
      </c>
      <c r="J13" s="7"/>
      <c r="K13" s="38"/>
    </row>
    <row r="14" spans="1:11" ht="12.75">
      <c r="A14" s="312" t="s">
        <v>281</v>
      </c>
      <c r="B14" s="313"/>
      <c r="C14" s="313"/>
      <c r="D14" s="313"/>
      <c r="E14" s="313"/>
      <c r="F14" s="313"/>
      <c r="G14" s="313"/>
      <c r="H14" s="313"/>
      <c r="I14" s="37">
        <v>10</v>
      </c>
      <c r="J14" s="69">
        <f>SUM(J5:J13)</f>
        <v>1883645517</v>
      </c>
      <c r="K14" s="69">
        <f>SUM(K5:K13)</f>
        <v>1702926060</v>
      </c>
    </row>
    <row r="15" spans="1:11" ht="12.75">
      <c r="A15" s="310" t="s">
        <v>282</v>
      </c>
      <c r="B15" s="311"/>
      <c r="C15" s="311"/>
      <c r="D15" s="311"/>
      <c r="E15" s="311"/>
      <c r="F15" s="311"/>
      <c r="G15" s="311"/>
      <c r="H15" s="311"/>
      <c r="I15" s="37">
        <v>11</v>
      </c>
      <c r="J15" s="38"/>
      <c r="K15" s="38"/>
    </row>
    <row r="16" spans="1:11" ht="12.75">
      <c r="A16" s="310" t="s">
        <v>283</v>
      </c>
      <c r="B16" s="311"/>
      <c r="C16" s="311"/>
      <c r="D16" s="311"/>
      <c r="E16" s="311"/>
      <c r="F16" s="311"/>
      <c r="G16" s="311"/>
      <c r="H16" s="311"/>
      <c r="I16" s="37">
        <v>12</v>
      </c>
      <c r="J16" s="38"/>
      <c r="K16" s="38"/>
    </row>
    <row r="17" spans="1:11" ht="12.75">
      <c r="A17" s="310" t="s">
        <v>284</v>
      </c>
      <c r="B17" s="311"/>
      <c r="C17" s="311"/>
      <c r="D17" s="311"/>
      <c r="E17" s="311"/>
      <c r="F17" s="311"/>
      <c r="G17" s="311"/>
      <c r="H17" s="311"/>
      <c r="I17" s="37">
        <v>13</v>
      </c>
      <c r="J17" s="38"/>
      <c r="K17" s="38"/>
    </row>
    <row r="18" spans="1:11" ht="12.75">
      <c r="A18" s="310" t="s">
        <v>285</v>
      </c>
      <c r="B18" s="311"/>
      <c r="C18" s="311"/>
      <c r="D18" s="311"/>
      <c r="E18" s="311"/>
      <c r="F18" s="311"/>
      <c r="G18" s="311"/>
      <c r="H18" s="311"/>
      <c r="I18" s="37">
        <v>14</v>
      </c>
      <c r="J18" s="38"/>
      <c r="K18" s="38"/>
    </row>
    <row r="19" spans="1:11" ht="12.75">
      <c r="A19" s="310" t="s">
        <v>286</v>
      </c>
      <c r="B19" s="311"/>
      <c r="C19" s="311"/>
      <c r="D19" s="311"/>
      <c r="E19" s="311"/>
      <c r="F19" s="311"/>
      <c r="G19" s="311"/>
      <c r="H19" s="311"/>
      <c r="I19" s="37">
        <v>15</v>
      </c>
      <c r="J19" s="38"/>
      <c r="K19" s="38"/>
    </row>
    <row r="20" spans="1:11" ht="12.75">
      <c r="A20" s="310" t="s">
        <v>287</v>
      </c>
      <c r="B20" s="311"/>
      <c r="C20" s="311"/>
      <c r="D20" s="311"/>
      <c r="E20" s="311"/>
      <c r="F20" s="311"/>
      <c r="G20" s="311"/>
      <c r="H20" s="311"/>
      <c r="I20" s="37">
        <v>16</v>
      </c>
      <c r="J20" s="38"/>
      <c r="K20" s="38"/>
    </row>
    <row r="21" spans="1:11" ht="12.75">
      <c r="A21" s="312" t="s">
        <v>288</v>
      </c>
      <c r="B21" s="313"/>
      <c r="C21" s="313"/>
      <c r="D21" s="313"/>
      <c r="E21" s="313"/>
      <c r="F21" s="313"/>
      <c r="G21" s="313"/>
      <c r="H21" s="313"/>
      <c r="I21" s="37">
        <v>17</v>
      </c>
      <c r="J21" s="70">
        <f>SUM(J15:J20)</f>
        <v>0</v>
      </c>
      <c r="K21" s="70">
        <f>SUM(K15:K20)</f>
        <v>0</v>
      </c>
    </row>
    <row r="22" spans="1:11" ht="12.75">
      <c r="A22" s="322"/>
      <c r="B22" s="323"/>
      <c r="C22" s="323"/>
      <c r="D22" s="323"/>
      <c r="E22" s="323"/>
      <c r="F22" s="323"/>
      <c r="G22" s="323"/>
      <c r="H22" s="323"/>
      <c r="I22" s="324"/>
      <c r="J22" s="324"/>
      <c r="K22" s="325"/>
    </row>
    <row r="23" spans="1:11" ht="12.75">
      <c r="A23" s="314" t="s">
        <v>289</v>
      </c>
      <c r="B23" s="315"/>
      <c r="C23" s="315"/>
      <c r="D23" s="315"/>
      <c r="E23" s="315"/>
      <c r="F23" s="315"/>
      <c r="G23" s="315"/>
      <c r="H23" s="315"/>
      <c r="I23" s="39">
        <v>18</v>
      </c>
      <c r="J23" s="6">
        <v>1883645517</v>
      </c>
      <c r="K23" s="121">
        <f>+K14</f>
        <v>1702926060</v>
      </c>
    </row>
    <row r="24" spans="1:11" ht="17.25" customHeight="1">
      <c r="A24" s="316" t="s">
        <v>290</v>
      </c>
      <c r="B24" s="317"/>
      <c r="C24" s="317"/>
      <c r="D24" s="317"/>
      <c r="E24" s="317"/>
      <c r="F24" s="317"/>
      <c r="G24" s="317"/>
      <c r="H24" s="317"/>
      <c r="I24" s="40">
        <v>19</v>
      </c>
      <c r="J24" s="70">
        <f>+Bilanca!J85</f>
        <v>91105</v>
      </c>
      <c r="K24" s="70">
        <f>+Bilanca!K85</f>
        <v>9375556</v>
      </c>
    </row>
    <row r="25" spans="1:11" ht="30" customHeight="1">
      <c r="A25" s="318" t="s">
        <v>291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  <row r="28" spans="10:11" ht="12.75">
      <c r="J28" s="128">
        <f>+J14+J24</f>
        <v>1883736622</v>
      </c>
      <c r="K28" s="128">
        <f>+K14+K24</f>
        <v>1712301616</v>
      </c>
    </row>
    <row r="29" spans="10:11" ht="12.75">
      <c r="J29" s="131"/>
      <c r="K29" s="13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:J4 J14:J22 K1:IV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6" t="s">
        <v>267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27" t="s">
        <v>302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Filip Mocibob</cp:lastModifiedBy>
  <cp:lastPrinted>2015-07-17T11:36:55Z</cp:lastPrinted>
  <dcterms:created xsi:type="dcterms:W3CDTF">2008-10-17T11:51:54Z</dcterms:created>
  <dcterms:modified xsi:type="dcterms:W3CDTF">2015-07-31T04:31:49Z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